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2.xml" ContentType="application/vnd.openxmlformats-officedocument.drawing+xml"/>
  <Override PartName="/xl/comments5.xml" ContentType="application/vnd.openxmlformats-officedocument.spreadsheetml.comments+xml"/>
  <Override PartName="/xl/charts/chart1.xml" ContentType="application/vnd.openxmlformats-officedocument.drawingml.chart+xml"/>
  <Override PartName="/xl/comments6.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updateLinks="never" codeName="ThisWorkbook" defaultThemeVersion="124226"/>
  <mc:AlternateContent xmlns:mc="http://schemas.openxmlformats.org/markup-compatibility/2006">
    <mc:Choice Requires="x15">
      <x15ac:absPath xmlns:x15ac="http://schemas.microsoft.com/office/spreadsheetml/2010/11/ac" url="https://transpowernz.sharepoint.com/sites/gm148/SupportInfo/4 - Customer Connection Design Packages/220kV Single Circuit/Lines/"/>
    </mc:Choice>
  </mc:AlternateContent>
  <xr:revisionPtr revIDLastSave="36" documentId="8_{A1EF8F5F-D750-49F8-B5F3-387F536C37E6}" xr6:coauthVersionLast="47" xr6:coauthVersionMax="47" xr10:uidLastSave="{D60DFD69-EF27-4A96-8ABE-B40615213C94}"/>
  <bookViews>
    <workbookView xWindow="-120" yWindow="-120" windowWidth="29040" windowHeight="15720" tabRatio="808" activeTab="1" xr2:uid="{00000000-000D-0000-FFFF-FFFF00000000}"/>
  </bookViews>
  <sheets>
    <sheet name="Revision" sheetId="42" r:id="rId1"/>
    <sheet name="Instructions" sheetId="45" r:id="rId2"/>
    <sheet name="Structure Groups" sheetId="40" r:id="rId3"/>
    <sheet name="Weather Cases" sheetId="41" r:id="rId4"/>
    <sheet name="Cables" sheetId="46" r:id="rId5"/>
    <sheet name="Load Criteria" sheetId="37" r:id="rId6"/>
    <sheet name="Control" sheetId="31" r:id="rId7"/>
    <sheet name="Staking Table" sheetId="43" r:id="rId8"/>
    <sheet name="pls-cadd folders" sheetId="44" r:id="rId9"/>
    <sheet name="Ref" sheetId="34" r:id="rId10"/>
    <sheet name="Weather Cases All" sheetId="47" r:id="rId11"/>
    <sheet name="Conductor-Properties" sheetId="3" state="hidden" r:id="rId12"/>
  </sheets>
  <externalReferences>
    <externalReference r:id="rId13"/>
    <externalReference r:id="rId14"/>
  </externalReferences>
  <definedNames>
    <definedName name="_xlnm._FilterDatabase" localSheetId="4" hidden="1">Cables!$B$6:$C$54</definedName>
    <definedName name="_xlnm._FilterDatabase" localSheetId="11" hidden="1">'Conductor-Properties'!$A$4:$L$85</definedName>
    <definedName name="_xlnm._FilterDatabase" localSheetId="6" hidden="1">'Weather Cases'!$D$7:$D$94</definedName>
    <definedName name="_xlnm._FilterDatabase" localSheetId="5" hidden="1">'Load Criteria'!$A$7:$AM$504</definedName>
    <definedName name="_xlnm._FilterDatabase" localSheetId="9" hidden="1">Ref!$B$79:$I$101</definedName>
    <definedName name="_xlnm._FilterDatabase" localSheetId="2" hidden="1">'Structure Groups'!$B$9:$F$25</definedName>
    <definedName name="_xlnm._FilterDatabase" localSheetId="3" hidden="1">'Weather Cases'!$A$8:$V$94</definedName>
    <definedName name="_xlnm._FilterDatabase" localSheetId="10" hidden="1">'Weather Cases All'!$A$8:$V$119</definedName>
    <definedName name="Altitude">'Structure Groups'!$B$12:$B$14</definedName>
    <definedName name="Avg_Cond_Height">Control!$E$33</definedName>
    <definedName name="Clearance">'[1]Span Heights'!$H$7:$H$50002</definedName>
    <definedName name="Command">'[2]CADD Lookup'!$I$3:$I$14</definedName>
    <definedName name="Con_Weight">'Conductor-Properties'!$E$5:$E$96</definedName>
    <definedName name="Cond_Dia">'Conductor-Properties'!$D$5:$D$96</definedName>
    <definedName name="ConName">'Conductor-Properties'!$A$5:$A$96</definedName>
    <definedName name="ConProp">'Conductor-Properties'!$A$5:$L$96</definedName>
    <definedName name="Dist_from_coast">Ref!$L$97:$L$98</definedName>
    <definedName name="Ice_Zones">Ref!$Z$96:$Z$98</definedName>
    <definedName name="Line_Reliability">Ref!$B$7:$B$40</definedName>
    <definedName name="MD">#REF!</definedName>
    <definedName name="Num_Condrs">Control!#REF!</definedName>
    <definedName name="Pole_type">Ref!$A$124:$A$127</definedName>
    <definedName name="_xlnm.Print_Area" localSheetId="4">Cables!$B$1:$I$54</definedName>
    <definedName name="_xlnm.Print_Area" localSheetId="6">Control!$A$2:$J$48</definedName>
    <definedName name="_xlnm.Print_Area" localSheetId="1">Instructions!$A$2:$C$100</definedName>
    <definedName name="_xlnm.Print_Area" localSheetId="5">'Load Criteria'!$W$1:$DD$504</definedName>
    <definedName name="_xlnm.Print_Area" localSheetId="0">Revision!$A$1:$C$93</definedName>
    <definedName name="_xlnm.Print_Area" localSheetId="7">'Staking Table'!$B$4:$AE$295</definedName>
    <definedName name="_xlnm.Print_Area" localSheetId="2">'Structure Groups'!$A$2:$F$25</definedName>
    <definedName name="_xlnm.Print_Area" localSheetId="3">'Weather Cases'!$A$2:$T$94</definedName>
    <definedName name="_xlnm.Print_Area" localSheetId="10">'Weather Cases All'!$A$2:$T$119</definedName>
    <definedName name="_xlnm.Print_Titles" localSheetId="5">'Load Criteria'!$W:$X,'Load Criteria'!$6:$7</definedName>
    <definedName name="_xlnm.Print_Titles" localSheetId="0">Revision!$1:$3</definedName>
    <definedName name="_xlnm.Print_Titles" localSheetId="3">'Weather Cases'!$7:$8</definedName>
    <definedName name="_xlnm.Print_Titles" localSheetId="10">'Weather Cases All'!$7:$8</definedName>
    <definedName name="Region">#REF!</definedName>
    <definedName name="Return_period">Ref!$B$7:$B$40</definedName>
    <definedName name="Selected_Line_Reliability">Control!$D$6</definedName>
    <definedName name="Selected_Terrain">Control!$D$31</definedName>
    <definedName name="Set_Phase_Span">'[2]CADD Lookup'!$F$3:$F$69</definedName>
    <definedName name="Station">'[1]Span Heights'!$D$7:$D$50002</definedName>
    <definedName name="Terrains">Ref!$B$44:$B$50</definedName>
    <definedName name="Voltages">Ref!$AC$127:$AH$127</definedName>
    <definedName name="Wind_Zones">Ref!$Q$37:$Q$39</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O320" i="37" l="1"/>
  <c r="BQ320" i="37" s="1"/>
  <c r="BL320" i="37"/>
  <c r="BN320" i="37" s="1"/>
  <c r="BI320" i="37"/>
  <c r="BJ320" i="37" s="1"/>
  <c r="BF320" i="37"/>
  <c r="BH320" i="37" s="1"/>
  <c r="BC320" i="37"/>
  <c r="BE320" i="37" s="1"/>
  <c r="AZ320" i="37"/>
  <c r="BB320" i="37" s="1"/>
  <c r="AY320" i="37"/>
  <c r="Z320" i="37"/>
  <c r="X320" i="37"/>
  <c r="J320" i="37"/>
  <c r="BO319" i="37"/>
  <c r="BP319" i="37" s="1"/>
  <c r="BN319" i="37"/>
  <c r="BL319" i="37"/>
  <c r="BM319" i="37" s="1"/>
  <c r="BI319" i="37"/>
  <c r="BK319" i="37" s="1"/>
  <c r="BF319" i="37"/>
  <c r="BG319" i="37" s="1"/>
  <c r="BC319" i="37"/>
  <c r="BD319" i="37" s="1"/>
  <c r="AZ319" i="37"/>
  <c r="BB319" i="37" s="1"/>
  <c r="AY319" i="37"/>
  <c r="Z319" i="37"/>
  <c r="X319" i="37"/>
  <c r="G319" i="37" s="1"/>
  <c r="J319" i="37"/>
  <c r="BO318" i="37"/>
  <c r="BQ318" i="37" s="1"/>
  <c r="BL318" i="37"/>
  <c r="BN318" i="37" s="1"/>
  <c r="BI318" i="37"/>
  <c r="BK318" i="37" s="1"/>
  <c r="BF318" i="37"/>
  <c r="BH318" i="37" s="1"/>
  <c r="BC318" i="37"/>
  <c r="BE318" i="37" s="1"/>
  <c r="AZ318" i="37"/>
  <c r="BB318" i="37" s="1"/>
  <c r="AY318" i="37"/>
  <c r="Z318" i="37"/>
  <c r="J318" i="37"/>
  <c r="X318" i="37" s="1"/>
  <c r="BO317" i="37"/>
  <c r="BQ317" i="37" s="1"/>
  <c r="BL317" i="37"/>
  <c r="BN317" i="37" s="1"/>
  <c r="BI317" i="37"/>
  <c r="BK317" i="37" s="1"/>
  <c r="BF317" i="37"/>
  <c r="BH317" i="37" s="1"/>
  <c r="BC317" i="37"/>
  <c r="BE317" i="37" s="1"/>
  <c r="AZ317" i="37"/>
  <c r="BA317" i="37" s="1"/>
  <c r="AY317" i="37"/>
  <c r="Z317" i="37"/>
  <c r="X317" i="37"/>
  <c r="W317" i="37" s="1"/>
  <c r="J317" i="37"/>
  <c r="BO316" i="37"/>
  <c r="BP316" i="37" s="1"/>
  <c r="BL316" i="37"/>
  <c r="BM316" i="37" s="1"/>
  <c r="BI316" i="37"/>
  <c r="BJ316" i="37" s="1"/>
  <c r="BF316" i="37"/>
  <c r="BH316" i="37" s="1"/>
  <c r="BC316" i="37"/>
  <c r="BD316" i="37" s="1"/>
  <c r="AZ316" i="37"/>
  <c r="BA316" i="37" s="1"/>
  <c r="AY316" i="37"/>
  <c r="Z316" i="37"/>
  <c r="J316" i="37"/>
  <c r="X316" i="37" s="1"/>
  <c r="BQ315" i="37"/>
  <c r="BP315" i="37"/>
  <c r="BO315" i="37"/>
  <c r="BL315" i="37"/>
  <c r="BN315" i="37" s="1"/>
  <c r="BI315" i="37"/>
  <c r="BK315" i="37" s="1"/>
  <c r="BF315" i="37"/>
  <c r="BH315" i="37" s="1"/>
  <c r="BC315" i="37"/>
  <c r="BE315" i="37" s="1"/>
  <c r="AZ315" i="37"/>
  <c r="BB315" i="37" s="1"/>
  <c r="AY315" i="37"/>
  <c r="Z315" i="37"/>
  <c r="J315" i="37"/>
  <c r="X315" i="37" s="1"/>
  <c r="BO304" i="37"/>
  <c r="BQ304" i="37" s="1"/>
  <c r="BL304" i="37"/>
  <c r="BN304" i="37" s="1"/>
  <c r="BI304" i="37"/>
  <c r="BK304" i="37" s="1"/>
  <c r="BF304" i="37"/>
  <c r="BH304" i="37" s="1"/>
  <c r="BC304" i="37"/>
  <c r="BE304" i="37" s="1"/>
  <c r="AZ304" i="37"/>
  <c r="BB304" i="37" s="1"/>
  <c r="AY304" i="37"/>
  <c r="Z304" i="37"/>
  <c r="J304" i="37"/>
  <c r="X304" i="37" s="1"/>
  <c r="BO303" i="37"/>
  <c r="BP303" i="37" s="1"/>
  <c r="BL303" i="37"/>
  <c r="BM303" i="37" s="1"/>
  <c r="BI303" i="37"/>
  <c r="BK303" i="37" s="1"/>
  <c r="BF303" i="37"/>
  <c r="BH303" i="37" s="1"/>
  <c r="BC303" i="37"/>
  <c r="BD303" i="37" s="1"/>
  <c r="AZ303" i="37"/>
  <c r="BA303" i="37" s="1"/>
  <c r="AY303" i="37"/>
  <c r="Z303" i="37"/>
  <c r="J303" i="37"/>
  <c r="X303" i="37" s="1"/>
  <c r="G303" i="37" s="1"/>
  <c r="BO302" i="37"/>
  <c r="BQ302" i="37" s="1"/>
  <c r="BL302" i="37"/>
  <c r="BM302" i="37" s="1"/>
  <c r="BI302" i="37"/>
  <c r="BJ302" i="37" s="1"/>
  <c r="BF302" i="37"/>
  <c r="BH302" i="37" s="1"/>
  <c r="BC302" i="37"/>
  <c r="BD302" i="37" s="1"/>
  <c r="AZ302" i="37"/>
  <c r="BB302" i="37" s="1"/>
  <c r="AY302" i="37"/>
  <c r="Z302" i="37"/>
  <c r="J302" i="37"/>
  <c r="X302" i="37" s="1"/>
  <c r="BO301" i="37"/>
  <c r="BQ301" i="37" s="1"/>
  <c r="BL301" i="37"/>
  <c r="BM301" i="37" s="1"/>
  <c r="BI301" i="37"/>
  <c r="BK301" i="37" s="1"/>
  <c r="BF301" i="37"/>
  <c r="BH301" i="37" s="1"/>
  <c r="BC301" i="37"/>
  <c r="BE301" i="37" s="1"/>
  <c r="AZ301" i="37"/>
  <c r="BB301" i="37" s="1"/>
  <c r="AY301" i="37"/>
  <c r="Z301" i="37"/>
  <c r="J301" i="37"/>
  <c r="X301" i="37" s="1"/>
  <c r="W301" i="37" s="1"/>
  <c r="BO300" i="37"/>
  <c r="BQ300" i="37" s="1"/>
  <c r="BL300" i="37"/>
  <c r="BN300" i="37" s="1"/>
  <c r="BI300" i="37"/>
  <c r="BJ300" i="37" s="1"/>
  <c r="BF300" i="37"/>
  <c r="BG300" i="37" s="1"/>
  <c r="BC300" i="37"/>
  <c r="BE300" i="37" s="1"/>
  <c r="AZ300" i="37"/>
  <c r="BB300" i="37" s="1"/>
  <c r="AY300" i="37"/>
  <c r="Z300" i="37"/>
  <c r="J300" i="37"/>
  <c r="X300" i="37" s="1"/>
  <c r="W300" i="37" s="1"/>
  <c r="BO299" i="37"/>
  <c r="BQ299" i="37" s="1"/>
  <c r="BL299" i="37"/>
  <c r="BM299" i="37" s="1"/>
  <c r="BI299" i="37"/>
  <c r="BK299" i="37" s="1"/>
  <c r="BF299" i="37"/>
  <c r="BG299" i="37" s="1"/>
  <c r="BC299" i="37"/>
  <c r="BD299" i="37" s="1"/>
  <c r="AZ299" i="37"/>
  <c r="BB299" i="37" s="1"/>
  <c r="AY299" i="37"/>
  <c r="Z299" i="37"/>
  <c r="J299" i="37"/>
  <c r="X299" i="37" s="1"/>
  <c r="BJ299" i="37" l="1"/>
  <c r="BM300" i="37"/>
  <c r="BN316" i="37"/>
  <c r="BA319" i="37"/>
  <c r="BM315" i="37"/>
  <c r="BG318" i="37"/>
  <c r="BJ319" i="37"/>
  <c r="BG316" i="37"/>
  <c r="BK316" i="37"/>
  <c r="BJ317" i="37"/>
  <c r="BJ318" i="37"/>
  <c r="BH319" i="37"/>
  <c r="BK320" i="37"/>
  <c r="BN302" i="37"/>
  <c r="BN299" i="37"/>
  <c r="BH300" i="37"/>
  <c r="BQ319" i="37"/>
  <c r="BP320" i="37"/>
  <c r="BD320" i="37"/>
  <c r="BE319" i="37"/>
  <c r="BB316" i="37"/>
  <c r="BD315" i="37"/>
  <c r="BA315" i="37"/>
  <c r="W318" i="37"/>
  <c r="G318" i="37"/>
  <c r="W315" i="37"/>
  <c r="G315" i="37"/>
  <c r="W316" i="37"/>
  <c r="G316" i="37"/>
  <c r="BG320" i="37"/>
  <c r="W319" i="37"/>
  <c r="BM317" i="37"/>
  <c r="W320" i="37"/>
  <c r="BG315" i="37"/>
  <c r="BQ316" i="37"/>
  <c r="BA318" i="37"/>
  <c r="BM318" i="37"/>
  <c r="BD317" i="37"/>
  <c r="BP317" i="37"/>
  <c r="BB317" i="37"/>
  <c r="BE316" i="37"/>
  <c r="BJ315" i="37"/>
  <c r="G317" i="37"/>
  <c r="BD318" i="37"/>
  <c r="BP318" i="37"/>
  <c r="BG317" i="37"/>
  <c r="BA320" i="37"/>
  <c r="BM320" i="37"/>
  <c r="G320" i="37"/>
  <c r="BP299" i="37"/>
  <c r="BK300" i="37"/>
  <c r="BG302" i="37"/>
  <c r="BQ303" i="37"/>
  <c r="BP301" i="37"/>
  <c r="BK302" i="37"/>
  <c r="BG303" i="37"/>
  <c r="BP302" i="37"/>
  <c r="BN303" i="37"/>
  <c r="BB303" i="37"/>
  <c r="BE303" i="37"/>
  <c r="BE302" i="37"/>
  <c r="BA300" i="37"/>
  <c r="BA299" i="37"/>
  <c r="BE299" i="37"/>
  <c r="G304" i="37"/>
  <c r="W304" i="37"/>
  <c r="G299" i="37"/>
  <c r="W299" i="37"/>
  <c r="W302" i="37"/>
  <c r="G302" i="37"/>
  <c r="BA301" i="37"/>
  <c r="BG304" i="37"/>
  <c r="BD300" i="37"/>
  <c r="BP300" i="37"/>
  <c r="BN301" i="37"/>
  <c r="BJ303" i="37"/>
  <c r="BA302" i="37"/>
  <c r="BH299" i="37"/>
  <c r="G300" i="37"/>
  <c r="BD301" i="37"/>
  <c r="BJ304" i="37"/>
  <c r="W303" i="37"/>
  <c r="G301" i="37"/>
  <c r="BG301" i="37"/>
  <c r="BA304" i="37"/>
  <c r="BM304" i="37"/>
  <c r="BJ301" i="37"/>
  <c r="BD304" i="37"/>
  <c r="BP304" i="37"/>
  <c r="BO251" i="37" l="1"/>
  <c r="BQ251" i="37" s="1"/>
  <c r="BL251" i="37"/>
  <c r="BN251" i="37" s="1"/>
  <c r="BI251" i="37"/>
  <c r="BK251" i="37" s="1"/>
  <c r="BF251" i="37"/>
  <c r="BH251" i="37" s="1"/>
  <c r="BC251" i="37"/>
  <c r="BE251" i="37" s="1"/>
  <c r="AZ251" i="37"/>
  <c r="BB251" i="37" s="1"/>
  <c r="AY251" i="37"/>
  <c r="Z251" i="37"/>
  <c r="J251" i="37"/>
  <c r="X251" i="37" s="1"/>
  <c r="BO250" i="37"/>
  <c r="BQ250" i="37" s="1"/>
  <c r="BL250" i="37"/>
  <c r="BN250" i="37" s="1"/>
  <c r="BI250" i="37"/>
  <c r="BJ250" i="37" s="1"/>
  <c r="BF250" i="37"/>
  <c r="BH250" i="37" s="1"/>
  <c r="BC250" i="37"/>
  <c r="BE250" i="37" s="1"/>
  <c r="AZ250" i="37"/>
  <c r="BB250" i="37" s="1"/>
  <c r="AY250" i="37"/>
  <c r="Z250" i="37"/>
  <c r="J250" i="37"/>
  <c r="X250" i="37" s="1"/>
  <c r="BO249" i="37"/>
  <c r="BQ249" i="37" s="1"/>
  <c r="BL249" i="37"/>
  <c r="BM249" i="37" s="1"/>
  <c r="BI249" i="37"/>
  <c r="BK249" i="37" s="1"/>
  <c r="BF249" i="37"/>
  <c r="BH249" i="37" s="1"/>
  <c r="BC249" i="37"/>
  <c r="BD249" i="37" s="1"/>
  <c r="AZ249" i="37"/>
  <c r="BB249" i="37" s="1"/>
  <c r="AY249" i="37"/>
  <c r="Z249" i="37"/>
  <c r="J249" i="37"/>
  <c r="X249" i="37" s="1"/>
  <c r="G249" i="37" s="1"/>
  <c r="BO248" i="37"/>
  <c r="BP248" i="37" s="1"/>
  <c r="BL248" i="37"/>
  <c r="BN248" i="37" s="1"/>
  <c r="BI248" i="37"/>
  <c r="BK248" i="37" s="1"/>
  <c r="BF248" i="37"/>
  <c r="BH248" i="37" s="1"/>
  <c r="BC248" i="37"/>
  <c r="BE248" i="37" s="1"/>
  <c r="AZ248" i="37"/>
  <c r="BB248" i="37" s="1"/>
  <c r="AY248" i="37"/>
  <c r="Z248" i="37"/>
  <c r="X248" i="37"/>
  <c r="W248" i="37" s="1"/>
  <c r="J248" i="37"/>
  <c r="BO247" i="37"/>
  <c r="BQ247" i="37" s="1"/>
  <c r="BL247" i="37"/>
  <c r="BN247" i="37" s="1"/>
  <c r="BI247" i="37"/>
  <c r="BK247" i="37" s="1"/>
  <c r="BF247" i="37"/>
  <c r="BH247" i="37" s="1"/>
  <c r="BC247" i="37"/>
  <c r="BE247" i="37" s="1"/>
  <c r="AZ247" i="37"/>
  <c r="BA247" i="37" s="1"/>
  <c r="AY247" i="37"/>
  <c r="Z247" i="37"/>
  <c r="J247" i="37"/>
  <c r="X247" i="37" s="1"/>
  <c r="BO246" i="37"/>
  <c r="BP246" i="37" s="1"/>
  <c r="BL246" i="37"/>
  <c r="BN246" i="37" s="1"/>
  <c r="BI246" i="37"/>
  <c r="BJ246" i="37" s="1"/>
  <c r="BF246" i="37"/>
  <c r="BH246" i="37" s="1"/>
  <c r="BC246" i="37"/>
  <c r="BD246" i="37" s="1"/>
  <c r="AZ246" i="37"/>
  <c r="BB246" i="37" s="1"/>
  <c r="AY246" i="37"/>
  <c r="Z246" i="37"/>
  <c r="J246" i="37"/>
  <c r="X246" i="37" s="1"/>
  <c r="AY131" i="37"/>
  <c r="AZ131" i="37" s="1"/>
  <c r="AA131" i="37"/>
  <c r="Z131" i="37"/>
  <c r="X131" i="37"/>
  <c r="A131" i="37"/>
  <c r="AY130" i="37"/>
  <c r="AZ130" i="37" s="1"/>
  <c r="BB130" i="37" s="1"/>
  <c r="AA130" i="37"/>
  <c r="Z130" i="37"/>
  <c r="X130" i="37"/>
  <c r="G130" i="37" s="1"/>
  <c r="A130" i="37"/>
  <c r="AY129" i="37"/>
  <c r="AZ129" i="37" s="1"/>
  <c r="AA129" i="37"/>
  <c r="Z129" i="37"/>
  <c r="X129" i="37"/>
  <c r="A129" i="37"/>
  <c r="AY128" i="37"/>
  <c r="AZ128" i="37" s="1"/>
  <c r="AA128" i="37"/>
  <c r="Z128" i="37"/>
  <c r="X128" i="37"/>
  <c r="A128" i="37"/>
  <c r="AZ127" i="37"/>
  <c r="BB127" i="37" s="1"/>
  <c r="AY127" i="37"/>
  <c r="AA127" i="37"/>
  <c r="Z127" i="37"/>
  <c r="X127" i="37"/>
  <c r="W127" i="37" s="1"/>
  <c r="A127" i="37"/>
  <c r="AY126" i="37"/>
  <c r="AZ126" i="37" s="1"/>
  <c r="AA126" i="37"/>
  <c r="Z126" i="37"/>
  <c r="X126" i="37"/>
  <c r="W126" i="37" s="1"/>
  <c r="A126" i="37"/>
  <c r="AY125" i="37"/>
  <c r="AZ125" i="37" s="1"/>
  <c r="AA125" i="37"/>
  <c r="Z125" i="37"/>
  <c r="X125" i="37"/>
  <c r="W125" i="37" s="1"/>
  <c r="A125" i="37"/>
  <c r="AY124" i="37"/>
  <c r="AZ124" i="37" s="1"/>
  <c r="AA124" i="37"/>
  <c r="Z124" i="37"/>
  <c r="X124" i="37"/>
  <c r="A124" i="37"/>
  <c r="AY123" i="37"/>
  <c r="AZ123" i="37" s="1"/>
  <c r="AA123" i="37"/>
  <c r="Z123" i="37"/>
  <c r="X123" i="37"/>
  <c r="A123" i="37"/>
  <c r="K93" i="41"/>
  <c r="E13" i="41"/>
  <c r="E10" i="41"/>
  <c r="T93" i="41"/>
  <c r="H93" i="41"/>
  <c r="F93" i="41"/>
  <c r="BO235" i="37"/>
  <c r="BQ235" i="37" s="1"/>
  <c r="BL235" i="37"/>
  <c r="BN235" i="37" s="1"/>
  <c r="BI235" i="37"/>
  <c r="BJ235" i="37" s="1"/>
  <c r="BF235" i="37"/>
  <c r="BH235" i="37" s="1"/>
  <c r="BC235" i="37"/>
  <c r="BE235" i="37" s="1"/>
  <c r="AZ235" i="37"/>
  <c r="BB235" i="37" s="1"/>
  <c r="AY235" i="37"/>
  <c r="Z235" i="37"/>
  <c r="J235" i="37"/>
  <c r="X235" i="37" s="1"/>
  <c r="BO234" i="37"/>
  <c r="BP234" i="37" s="1"/>
  <c r="BL234" i="37"/>
  <c r="BM234" i="37" s="1"/>
  <c r="BI234" i="37"/>
  <c r="BK234" i="37" s="1"/>
  <c r="BF234" i="37"/>
  <c r="BH234" i="37" s="1"/>
  <c r="BC234" i="37"/>
  <c r="BE234" i="37" s="1"/>
  <c r="AZ234" i="37"/>
  <c r="BA234" i="37" s="1"/>
  <c r="AY234" i="37"/>
  <c r="Z234" i="37"/>
  <c r="J234" i="37"/>
  <c r="X234" i="37" s="1"/>
  <c r="G234" i="37" s="1"/>
  <c r="BO233" i="37"/>
  <c r="BP233" i="37" s="1"/>
  <c r="BL233" i="37"/>
  <c r="BM233" i="37" s="1"/>
  <c r="BI233" i="37"/>
  <c r="BK233" i="37" s="1"/>
  <c r="BF233" i="37"/>
  <c r="BH233" i="37" s="1"/>
  <c r="BC233" i="37"/>
  <c r="BD233" i="37" s="1"/>
  <c r="AZ233" i="37"/>
  <c r="BA233" i="37" s="1"/>
  <c r="AY233" i="37"/>
  <c r="Z233" i="37"/>
  <c r="J233" i="37"/>
  <c r="X233" i="37" s="1"/>
  <c r="BO232" i="37"/>
  <c r="BQ232" i="37" s="1"/>
  <c r="BL232" i="37"/>
  <c r="BN232" i="37" s="1"/>
  <c r="BI232" i="37"/>
  <c r="BK232" i="37" s="1"/>
  <c r="BF232" i="37"/>
  <c r="BH232" i="37" s="1"/>
  <c r="BC232" i="37"/>
  <c r="BE232" i="37" s="1"/>
  <c r="AZ232" i="37"/>
  <c r="BB232" i="37" s="1"/>
  <c r="AY232" i="37"/>
  <c r="Z232" i="37"/>
  <c r="J232" i="37"/>
  <c r="X232" i="37" s="1"/>
  <c r="BO231" i="37"/>
  <c r="BP231" i="37" s="1"/>
  <c r="BL231" i="37"/>
  <c r="BN231" i="37" s="1"/>
  <c r="BI231" i="37"/>
  <c r="BK231" i="37" s="1"/>
  <c r="BF231" i="37"/>
  <c r="BH231" i="37" s="1"/>
  <c r="BC231" i="37"/>
  <c r="BE231" i="37" s="1"/>
  <c r="AZ231" i="37"/>
  <c r="BB231" i="37" s="1"/>
  <c r="AY231" i="37"/>
  <c r="Z231" i="37"/>
  <c r="J231" i="37"/>
  <c r="X231" i="37" s="1"/>
  <c r="BO230" i="37"/>
  <c r="BP230" i="37" s="1"/>
  <c r="BL230" i="37"/>
  <c r="BN230" i="37" s="1"/>
  <c r="BI230" i="37"/>
  <c r="BK230" i="37" s="1"/>
  <c r="BF230" i="37"/>
  <c r="BG230" i="37" s="1"/>
  <c r="BC230" i="37"/>
  <c r="BE230" i="37" s="1"/>
  <c r="AZ230" i="37"/>
  <c r="BB230" i="37" s="1"/>
  <c r="AY230" i="37"/>
  <c r="Z230" i="37"/>
  <c r="J230" i="37"/>
  <c r="X230" i="37" s="1"/>
  <c r="C12" i="40"/>
  <c r="B13" i="40"/>
  <c r="A13" i="40"/>
  <c r="BP250" i="37" l="1"/>
  <c r="BP249" i="37"/>
  <c r="BG246" i="37"/>
  <c r="BG247" i="37"/>
  <c r="BJ247" i="37"/>
  <c r="BK246" i="37"/>
  <c r="BG249" i="37"/>
  <c r="BM247" i="37"/>
  <c r="BM248" i="37"/>
  <c r="BG250" i="37"/>
  <c r="BJ251" i="37"/>
  <c r="BQ248" i="37"/>
  <c r="BK250" i="37"/>
  <c r="BD250" i="37"/>
  <c r="BE249" i="37"/>
  <c r="BA248" i="37"/>
  <c r="BB247" i="37"/>
  <c r="W251" i="37"/>
  <c r="G251" i="37"/>
  <c r="W246" i="37"/>
  <c r="G246" i="37"/>
  <c r="W247" i="37"/>
  <c r="G247" i="37"/>
  <c r="G250" i="37"/>
  <c r="W250" i="37"/>
  <c r="W249" i="37"/>
  <c r="BG251" i="37"/>
  <c r="BJ248" i="37"/>
  <c r="BA246" i="37"/>
  <c r="BM246" i="37"/>
  <c r="BJ249" i="37"/>
  <c r="BA249" i="37"/>
  <c r="BE246" i="37"/>
  <c r="BQ246" i="37"/>
  <c r="BD247" i="37"/>
  <c r="BP247" i="37"/>
  <c r="BN249" i="37"/>
  <c r="BA250" i="37"/>
  <c r="BM250" i="37"/>
  <c r="BD248" i="37"/>
  <c r="BA251" i="37"/>
  <c r="BM251" i="37"/>
  <c r="G248" i="37"/>
  <c r="BG248" i="37"/>
  <c r="BD251" i="37"/>
  <c r="BP251" i="37"/>
  <c r="BB125" i="37"/>
  <c r="BA125" i="37"/>
  <c r="BB131" i="37"/>
  <c r="BA131" i="37"/>
  <c r="BB123" i="37"/>
  <c r="BA123" i="37"/>
  <c r="BB126" i="37"/>
  <c r="BA126" i="37"/>
  <c r="BA124" i="37"/>
  <c r="BB124" i="37"/>
  <c r="BB128" i="37"/>
  <c r="BA128" i="37"/>
  <c r="G131" i="37"/>
  <c r="W131" i="37"/>
  <c r="W124" i="37"/>
  <c r="G124" i="37"/>
  <c r="W123" i="37"/>
  <c r="G123" i="37"/>
  <c r="G129" i="37"/>
  <c r="W129" i="37"/>
  <c r="BB129" i="37"/>
  <c r="BA129" i="37"/>
  <c r="W128" i="37"/>
  <c r="G125" i="37"/>
  <c r="BA127" i="37"/>
  <c r="W130" i="37"/>
  <c r="G126" i="37"/>
  <c r="G127" i="37"/>
  <c r="G128" i="37"/>
  <c r="BA130" i="37"/>
  <c r="BQ231" i="37"/>
  <c r="BK235" i="37"/>
  <c r="BM235" i="37"/>
  <c r="BP235" i="37"/>
  <c r="BH230" i="37"/>
  <c r="BG231" i="37"/>
  <c r="BG233" i="37"/>
  <c r="BJ232" i="37"/>
  <c r="BG235" i="37"/>
  <c r="BJ230" i="37"/>
  <c r="BJ233" i="37"/>
  <c r="BM230" i="37"/>
  <c r="BM232" i="37"/>
  <c r="BN233" i="37"/>
  <c r="BN234" i="37"/>
  <c r="BQ233" i="37"/>
  <c r="BQ234" i="37"/>
  <c r="BA235" i="37"/>
  <c r="BD235" i="37"/>
  <c r="BB234" i="37"/>
  <c r="BD234" i="37"/>
  <c r="BB233" i="37"/>
  <c r="BE233" i="37"/>
  <c r="BA232" i="37"/>
  <c r="BD231" i="37"/>
  <c r="BA230" i="37"/>
  <c r="G230" i="37"/>
  <c r="W230" i="37"/>
  <c r="W231" i="37"/>
  <c r="G231" i="37"/>
  <c r="W232" i="37"/>
  <c r="G232" i="37"/>
  <c r="G233" i="37"/>
  <c r="W233" i="37"/>
  <c r="W235" i="37"/>
  <c r="G235" i="37"/>
  <c r="BQ230" i="37"/>
  <c r="BJ231" i="37"/>
  <c r="BG234" i="37"/>
  <c r="W234" i="37"/>
  <c r="BA231" i="37"/>
  <c r="BM231" i="37"/>
  <c r="BJ234" i="37"/>
  <c r="BD230" i="37"/>
  <c r="BD232" i="37"/>
  <c r="BP232" i="37"/>
  <c r="BG232" i="37"/>
  <c r="I5" i="43"/>
  <c r="A9" i="37"/>
  <c r="K57" i="47"/>
  <c r="J57" i="47" s="1"/>
  <c r="D7" i="31" l="1"/>
  <c r="AY455" i="37" l="1"/>
  <c r="BC455" i="37" s="1"/>
  <c r="BD455" i="37" s="1"/>
  <c r="Z455" i="37"/>
  <c r="X455" i="37"/>
  <c r="G455" i="37" s="1"/>
  <c r="AY453" i="37"/>
  <c r="BC453" i="37" s="1"/>
  <c r="BD453" i="37" s="1"/>
  <c r="Z453" i="37"/>
  <c r="X453" i="37"/>
  <c r="G453" i="37" s="1"/>
  <c r="AY451" i="37"/>
  <c r="AZ451" i="37" s="1"/>
  <c r="Z451" i="37"/>
  <c r="X451" i="37"/>
  <c r="W451" i="37" s="1"/>
  <c r="BO449" i="37"/>
  <c r="BP449" i="37" s="1"/>
  <c r="BL449" i="37"/>
  <c r="BN449" i="37" s="1"/>
  <c r="BQ449" i="37" s="1"/>
  <c r="BI449" i="37"/>
  <c r="BJ449" i="37" s="1"/>
  <c r="BF449" i="37"/>
  <c r="BH449" i="37" s="1"/>
  <c r="BK449" i="37" s="1"/>
  <c r="AY449" i="37"/>
  <c r="BC449" i="37" s="1"/>
  <c r="BD449" i="37" s="1"/>
  <c r="Z449" i="37"/>
  <c r="X449" i="37"/>
  <c r="G449" i="37" s="1"/>
  <c r="BO447" i="37"/>
  <c r="BP447" i="37" s="1"/>
  <c r="BL447" i="37"/>
  <c r="BN447" i="37" s="1"/>
  <c r="BQ447" i="37" s="1"/>
  <c r="BI447" i="37"/>
  <c r="BJ447" i="37" s="1"/>
  <c r="BF447" i="37"/>
  <c r="BG447" i="37" s="1"/>
  <c r="AY447" i="37"/>
  <c r="BC447" i="37" s="1"/>
  <c r="BD447" i="37" s="1"/>
  <c r="Z447" i="37"/>
  <c r="X447" i="37"/>
  <c r="G447" i="37" s="1"/>
  <c r="BO445" i="37"/>
  <c r="BP445" i="37" s="1"/>
  <c r="BL445" i="37"/>
  <c r="BN445" i="37" s="1"/>
  <c r="BQ445" i="37" s="1"/>
  <c r="BI445" i="37"/>
  <c r="BJ445" i="37" s="1"/>
  <c r="BF445" i="37"/>
  <c r="BH445" i="37" s="1"/>
  <c r="BK445" i="37" s="1"/>
  <c r="AY445" i="37"/>
  <c r="AZ445" i="37" s="1"/>
  <c r="BB445" i="37" s="1"/>
  <c r="Z445" i="37"/>
  <c r="X445" i="37"/>
  <c r="W445" i="37" s="1"/>
  <c r="AY437" i="37"/>
  <c r="BC437" i="37" s="1"/>
  <c r="BD437" i="37" s="1"/>
  <c r="Z437" i="37"/>
  <c r="X437" i="37"/>
  <c r="G437" i="37" s="1"/>
  <c r="AY435" i="37"/>
  <c r="BC435" i="37" s="1"/>
  <c r="BD435" i="37" s="1"/>
  <c r="Z435" i="37"/>
  <c r="X435" i="37"/>
  <c r="G435" i="37" s="1"/>
  <c r="AY433" i="37"/>
  <c r="AZ433" i="37" s="1"/>
  <c r="Z433" i="37"/>
  <c r="X433" i="37"/>
  <c r="G433" i="37" s="1"/>
  <c r="BO431" i="37"/>
  <c r="BP431" i="37" s="1"/>
  <c r="BL431" i="37"/>
  <c r="BN431" i="37" s="1"/>
  <c r="BQ431" i="37" s="1"/>
  <c r="BI431" i="37"/>
  <c r="BJ431" i="37" s="1"/>
  <c r="BF431" i="37"/>
  <c r="BH431" i="37" s="1"/>
  <c r="BK431" i="37" s="1"/>
  <c r="AY431" i="37"/>
  <c r="BC431" i="37" s="1"/>
  <c r="BD431" i="37" s="1"/>
  <c r="Z431" i="37"/>
  <c r="X431" i="37"/>
  <c r="G431" i="37" s="1"/>
  <c r="BO429" i="37"/>
  <c r="BP429" i="37" s="1"/>
  <c r="BL429" i="37"/>
  <c r="BN429" i="37" s="1"/>
  <c r="BQ429" i="37" s="1"/>
  <c r="BI429" i="37"/>
  <c r="BJ429" i="37" s="1"/>
  <c r="BF429" i="37"/>
  <c r="BH429" i="37" s="1"/>
  <c r="BK429" i="37" s="1"/>
  <c r="AY429" i="37"/>
  <c r="BC429" i="37" s="1"/>
  <c r="BD429" i="37" s="1"/>
  <c r="Z429" i="37"/>
  <c r="X429" i="37"/>
  <c r="G429" i="37" s="1"/>
  <c r="BO427" i="37"/>
  <c r="BP427" i="37" s="1"/>
  <c r="BL427" i="37"/>
  <c r="BN427" i="37" s="1"/>
  <c r="BQ427" i="37" s="1"/>
  <c r="BI427" i="37"/>
  <c r="BJ427" i="37" s="1"/>
  <c r="BF427" i="37"/>
  <c r="BG427" i="37" s="1"/>
  <c r="AY427" i="37"/>
  <c r="AZ427" i="37" s="1"/>
  <c r="Z427" i="37"/>
  <c r="X427" i="37"/>
  <c r="W427" i="37" s="1"/>
  <c r="AZ449" i="37" l="1"/>
  <c r="BB449" i="37" s="1"/>
  <c r="BE449" i="37" s="1"/>
  <c r="W455" i="37"/>
  <c r="AZ455" i="37"/>
  <c r="W453" i="37"/>
  <c r="AZ453" i="37"/>
  <c r="BB451" i="37"/>
  <c r="BA451" i="37"/>
  <c r="G451" i="37"/>
  <c r="W449" i="37"/>
  <c r="BG449" i="37"/>
  <c r="BA449" i="37"/>
  <c r="BM449" i="37"/>
  <c r="BH447" i="37"/>
  <c r="BK447" i="37" s="1"/>
  <c r="W447" i="37"/>
  <c r="BM447" i="37"/>
  <c r="AZ447" i="37"/>
  <c r="BG445" i="37"/>
  <c r="G445" i="37"/>
  <c r="BM445" i="37"/>
  <c r="BA445" i="37"/>
  <c r="W437" i="37"/>
  <c r="AZ437" i="37"/>
  <c r="W435" i="37"/>
  <c r="AZ435" i="37"/>
  <c r="BB433" i="37"/>
  <c r="BA433" i="37"/>
  <c r="W433" i="37"/>
  <c r="BM427" i="37"/>
  <c r="AZ429" i="37"/>
  <c r="BB429" i="37" s="1"/>
  <c r="BE429" i="37" s="1"/>
  <c r="BH427" i="37"/>
  <c r="BK427" i="37" s="1"/>
  <c r="BM431" i="37"/>
  <c r="W431" i="37"/>
  <c r="BG431" i="37"/>
  <c r="AZ431" i="37"/>
  <c r="W429" i="37"/>
  <c r="BG429" i="37"/>
  <c r="BM429" i="37"/>
  <c r="BB427" i="37"/>
  <c r="BA427" i="37"/>
  <c r="G427" i="37"/>
  <c r="BB455" i="37" l="1"/>
  <c r="BE455" i="37" s="1"/>
  <c r="BA455" i="37"/>
  <c r="BB453" i="37"/>
  <c r="BE453" i="37" s="1"/>
  <c r="BA453" i="37"/>
  <c r="BB447" i="37"/>
  <c r="BE447" i="37" s="1"/>
  <c r="BA447" i="37"/>
  <c r="BB437" i="37"/>
  <c r="BE437" i="37" s="1"/>
  <c r="BA437" i="37"/>
  <c r="BB435" i="37"/>
  <c r="BE435" i="37" s="1"/>
  <c r="BA435" i="37"/>
  <c r="BA429" i="37"/>
  <c r="BB431" i="37"/>
  <c r="BE431" i="37" s="1"/>
  <c r="BA431" i="37"/>
  <c r="BW218" i="37" l="1"/>
  <c r="BW217" i="37"/>
  <c r="BW216" i="37"/>
  <c r="BW215" i="37"/>
  <c r="BW207" i="37"/>
  <c r="BW206" i="37"/>
  <c r="BW205" i="37"/>
  <c r="BW204" i="37"/>
  <c r="BW195" i="37"/>
  <c r="BW194" i="37"/>
  <c r="BW193" i="37"/>
  <c r="BW192" i="37"/>
  <c r="BW184" i="37"/>
  <c r="BW183" i="37"/>
  <c r="BW182" i="37"/>
  <c r="BW181" i="37"/>
  <c r="BU218" i="37"/>
  <c r="BU217" i="37"/>
  <c r="BU216" i="37"/>
  <c r="BU215" i="37"/>
  <c r="BU207" i="37"/>
  <c r="BU206" i="37"/>
  <c r="BU205" i="37"/>
  <c r="BU204" i="37"/>
  <c r="BU195" i="37"/>
  <c r="BU194" i="37"/>
  <c r="BU193" i="37"/>
  <c r="BU192" i="37"/>
  <c r="BU184" i="37"/>
  <c r="BU183" i="37"/>
  <c r="BU182" i="37"/>
  <c r="BU181" i="37"/>
  <c r="BN218" i="37"/>
  <c r="BN217" i="37"/>
  <c r="BN216" i="37"/>
  <c r="BN215" i="37"/>
  <c r="BN214" i="37"/>
  <c r="BN213" i="37"/>
  <c r="BN212" i="37"/>
  <c r="BN211" i="37"/>
  <c r="BN207" i="37"/>
  <c r="BN206" i="37"/>
  <c r="BN205" i="37"/>
  <c r="BN204" i="37"/>
  <c r="BN203" i="37"/>
  <c r="BN202" i="37"/>
  <c r="BN201" i="37"/>
  <c r="BN200" i="37"/>
  <c r="BN195" i="37"/>
  <c r="BN194" i="37"/>
  <c r="BN193" i="37"/>
  <c r="BN192" i="37"/>
  <c r="BN191" i="37"/>
  <c r="BN190" i="37"/>
  <c r="BN189" i="37"/>
  <c r="BN188" i="37"/>
  <c r="BN184" i="37"/>
  <c r="BN183" i="37"/>
  <c r="BN182" i="37"/>
  <c r="BN181" i="37"/>
  <c r="BN180" i="37"/>
  <c r="BN179" i="37"/>
  <c r="BN178" i="37"/>
  <c r="BN177" i="37"/>
  <c r="BL218" i="37"/>
  <c r="BL217" i="37"/>
  <c r="BL216" i="37"/>
  <c r="BL215" i="37"/>
  <c r="BL214" i="37"/>
  <c r="BL213" i="37"/>
  <c r="BL212" i="37"/>
  <c r="BL211" i="37"/>
  <c r="BL207" i="37"/>
  <c r="BL206" i="37"/>
  <c r="BL205" i="37"/>
  <c r="BL204" i="37"/>
  <c r="BL203" i="37"/>
  <c r="BL202" i="37"/>
  <c r="BL201" i="37"/>
  <c r="BL200" i="37"/>
  <c r="BL195" i="37"/>
  <c r="BL194" i="37"/>
  <c r="BL193" i="37"/>
  <c r="BL192" i="37"/>
  <c r="BL191" i="37"/>
  <c r="BL190" i="37"/>
  <c r="BL189" i="37"/>
  <c r="BL188" i="37"/>
  <c r="BL184" i="37"/>
  <c r="BL183" i="37"/>
  <c r="BL182" i="37"/>
  <c r="BL181" i="37"/>
  <c r="BL180" i="37"/>
  <c r="BL179" i="37"/>
  <c r="BL178" i="37"/>
  <c r="BL177" i="37"/>
  <c r="BE218" i="37"/>
  <c r="BE217" i="37"/>
  <c r="BE216" i="37"/>
  <c r="BE215" i="37"/>
  <c r="BE214" i="37"/>
  <c r="BE213" i="37"/>
  <c r="BE212" i="37"/>
  <c r="BE211" i="37"/>
  <c r="BE207" i="37"/>
  <c r="BE206" i="37"/>
  <c r="BE205" i="37"/>
  <c r="BE204" i="37"/>
  <c r="BE203" i="37"/>
  <c r="BE202" i="37"/>
  <c r="BE201" i="37"/>
  <c r="BE200" i="37"/>
  <c r="BE195" i="37"/>
  <c r="BE194" i="37"/>
  <c r="BE193" i="37"/>
  <c r="BE192" i="37"/>
  <c r="BE191" i="37"/>
  <c r="BE190" i="37"/>
  <c r="BE189" i="37"/>
  <c r="BE188" i="37"/>
  <c r="BC218" i="37"/>
  <c r="BC217" i="37"/>
  <c r="BC216" i="37"/>
  <c r="BC215" i="37"/>
  <c r="BC214" i="37"/>
  <c r="BC213" i="37"/>
  <c r="BC212" i="37"/>
  <c r="BC211" i="37"/>
  <c r="BC207" i="37"/>
  <c r="BC206" i="37"/>
  <c r="BC205" i="37"/>
  <c r="BC204" i="37"/>
  <c r="BC203" i="37"/>
  <c r="BC202" i="37"/>
  <c r="BC201" i="37"/>
  <c r="BC200" i="37"/>
  <c r="BC195" i="37"/>
  <c r="BC194" i="37"/>
  <c r="BC193" i="37"/>
  <c r="BC192" i="37"/>
  <c r="BC191" i="37"/>
  <c r="BC190" i="37"/>
  <c r="BC189" i="37"/>
  <c r="BC188" i="37"/>
  <c r="BE184" i="37"/>
  <c r="BE183" i="37"/>
  <c r="BE182" i="37"/>
  <c r="BE181" i="37"/>
  <c r="BE180" i="37"/>
  <c r="BE179" i="37"/>
  <c r="BE178" i="37"/>
  <c r="BE177" i="37"/>
  <c r="BC184" i="37"/>
  <c r="BC183" i="37"/>
  <c r="BC182" i="37"/>
  <c r="BC181" i="37"/>
  <c r="BC180" i="37"/>
  <c r="BC179" i="37"/>
  <c r="BC178" i="37"/>
  <c r="BC177" i="37"/>
  <c r="BW172" i="37"/>
  <c r="BW171" i="37"/>
  <c r="BW170" i="37"/>
  <c r="BW169" i="37"/>
  <c r="BU172" i="37"/>
  <c r="BU171" i="37"/>
  <c r="BU170" i="37"/>
  <c r="BU169" i="37"/>
  <c r="BN172" i="37"/>
  <c r="BN171" i="37"/>
  <c r="BN170" i="37"/>
  <c r="BN169" i="37"/>
  <c r="BN168" i="37"/>
  <c r="BN167" i="37"/>
  <c r="BN166" i="37"/>
  <c r="BN165" i="37"/>
  <c r="BL172" i="37"/>
  <c r="BL171" i="37"/>
  <c r="BL170" i="37"/>
  <c r="BL169" i="37"/>
  <c r="BL168" i="37"/>
  <c r="BL167" i="37"/>
  <c r="BL166" i="37"/>
  <c r="BL165" i="37"/>
  <c r="BE172" i="37"/>
  <c r="BE171" i="37"/>
  <c r="BE170" i="37"/>
  <c r="BE169" i="37"/>
  <c r="BE168" i="37"/>
  <c r="BE167" i="37"/>
  <c r="BE166" i="37"/>
  <c r="BE165" i="37"/>
  <c r="BC172" i="37"/>
  <c r="BC171" i="37"/>
  <c r="BC170" i="37"/>
  <c r="BC169" i="37"/>
  <c r="BC168" i="37"/>
  <c r="BC167" i="37"/>
  <c r="BC166" i="37"/>
  <c r="BC165" i="37"/>
  <c r="BW161" i="37"/>
  <c r="BW160" i="37"/>
  <c r="BW159" i="37"/>
  <c r="BW158" i="37"/>
  <c r="BU161" i="37"/>
  <c r="BU160" i="37"/>
  <c r="BU159" i="37"/>
  <c r="BU158" i="37"/>
  <c r="BT161" i="37"/>
  <c r="BT160" i="37"/>
  <c r="BT159" i="37"/>
  <c r="BT158" i="37"/>
  <c r="BR161" i="37"/>
  <c r="BR160" i="37"/>
  <c r="BR159" i="37"/>
  <c r="BR158" i="37"/>
  <c r="BR169" i="37"/>
  <c r="BR170" i="37"/>
  <c r="BR171" i="37"/>
  <c r="BR172" i="37"/>
  <c r="BN161" i="37"/>
  <c r="BN160" i="37"/>
  <c r="BN159" i="37"/>
  <c r="BN158" i="37"/>
  <c r="BL161" i="37"/>
  <c r="BL160" i="37"/>
  <c r="BL159" i="37"/>
  <c r="BL158" i="37"/>
  <c r="BE161" i="37"/>
  <c r="BE160" i="37"/>
  <c r="BE159" i="37"/>
  <c r="BE158" i="37"/>
  <c r="BC161" i="37"/>
  <c r="BC160" i="37"/>
  <c r="BC159" i="37"/>
  <c r="BC158" i="37"/>
  <c r="BN157" i="37"/>
  <c r="BN156" i="37"/>
  <c r="BN154" i="37"/>
  <c r="BN155" i="37"/>
  <c r="BL157" i="37"/>
  <c r="BL156" i="37"/>
  <c r="BL154" i="37"/>
  <c r="BL155" i="37"/>
  <c r="BE157" i="37"/>
  <c r="BE156" i="37"/>
  <c r="BE154" i="37"/>
  <c r="BE155" i="37"/>
  <c r="BC157" i="37"/>
  <c r="BC156" i="37"/>
  <c r="BC154" i="37"/>
  <c r="BC155" i="37"/>
  <c r="BR155" i="37"/>
  <c r="BS155" i="37"/>
  <c r="BT155" i="37"/>
  <c r="BU155" i="37"/>
  <c r="BV155" i="37"/>
  <c r="BW155" i="37"/>
  <c r="BR154" i="37"/>
  <c r="BS154" i="37"/>
  <c r="BT154" i="37"/>
  <c r="BU154" i="37"/>
  <c r="BV154" i="37"/>
  <c r="BW154" i="37"/>
  <c r="BR156" i="37"/>
  <c r="BS156" i="37"/>
  <c r="BT156" i="37"/>
  <c r="BU156" i="37"/>
  <c r="BV156" i="37"/>
  <c r="BW156" i="37"/>
  <c r="BR157" i="37"/>
  <c r="BS157" i="37"/>
  <c r="BT157" i="37"/>
  <c r="BU157" i="37"/>
  <c r="BV157" i="37"/>
  <c r="BW157" i="37"/>
  <c r="BR165" i="37"/>
  <c r="BS165" i="37"/>
  <c r="BT165" i="37"/>
  <c r="BU165" i="37"/>
  <c r="BV165" i="37"/>
  <c r="BW165" i="37"/>
  <c r="BR166" i="37"/>
  <c r="BS166" i="37"/>
  <c r="BT166" i="37"/>
  <c r="BU166" i="37"/>
  <c r="BV166" i="37"/>
  <c r="BW166" i="37"/>
  <c r="BR167" i="37"/>
  <c r="BS167" i="37"/>
  <c r="BT167" i="37"/>
  <c r="BU167" i="37"/>
  <c r="BV167" i="37"/>
  <c r="BW167" i="37"/>
  <c r="BR168" i="37"/>
  <c r="BS168" i="37"/>
  <c r="BT168" i="37"/>
  <c r="BU168" i="37"/>
  <c r="BV168" i="37"/>
  <c r="BW168" i="37"/>
  <c r="I6" i="43"/>
  <c r="L93" i="34" l="1"/>
  <c r="E68" i="47"/>
  <c r="E67" i="47"/>
  <c r="E66" i="47"/>
  <c r="H66" i="47"/>
  <c r="H67" i="47"/>
  <c r="H68" i="47"/>
  <c r="H65" i="47"/>
  <c r="E65" i="47"/>
  <c r="T65" i="47"/>
  <c r="T66" i="47"/>
  <c r="T67" i="47"/>
  <c r="K108" i="47"/>
  <c r="J108" i="47" s="1"/>
  <c r="K109" i="47"/>
  <c r="J109" i="47" s="1"/>
  <c r="K110" i="47"/>
  <c r="J110" i="47" s="1"/>
  <c r="K107" i="47"/>
  <c r="H110" i="47"/>
  <c r="H109" i="47"/>
  <c r="H108" i="47"/>
  <c r="H106" i="47"/>
  <c r="H105" i="47"/>
  <c r="H104" i="47"/>
  <c r="F99" i="47"/>
  <c r="F100" i="47"/>
  <c r="F101" i="47"/>
  <c r="H101" i="47"/>
  <c r="H100" i="47"/>
  <c r="H99" i="47"/>
  <c r="H97" i="47"/>
  <c r="H96" i="47"/>
  <c r="H95" i="47"/>
  <c r="K92" i="47"/>
  <c r="J92" i="47" s="1"/>
  <c r="K91" i="47"/>
  <c r="H92" i="47"/>
  <c r="H90" i="47"/>
  <c r="J47" i="47"/>
  <c r="J48" i="47"/>
  <c r="J49" i="47"/>
  <c r="H49" i="47"/>
  <c r="H48" i="47"/>
  <c r="H47" i="47"/>
  <c r="D45" i="47"/>
  <c r="J45" i="47" s="1"/>
  <c r="K45" i="47" s="1"/>
  <c r="F45" i="47"/>
  <c r="H45" i="47"/>
  <c r="H44" i="47"/>
  <c r="H43" i="47"/>
  <c r="H41" i="47"/>
  <c r="F43" i="47"/>
  <c r="F44" i="47"/>
  <c r="D43" i="47"/>
  <c r="J43" i="47" s="1"/>
  <c r="K43" i="47" s="1"/>
  <c r="D44" i="47"/>
  <c r="J44" i="47" s="1"/>
  <c r="K44" i="47" s="1"/>
  <c r="T68" i="47"/>
  <c r="J41" i="47"/>
  <c r="L95" i="34"/>
  <c r="L110" i="47" l="1"/>
  <c r="L47" i="47"/>
  <c r="L44" i="47"/>
  <c r="L104" i="47"/>
  <c r="L95" i="47"/>
  <c r="L109" i="47"/>
  <c r="L101" i="47"/>
  <c r="L43" i="47"/>
  <c r="L105" i="47"/>
  <c r="L96" i="47"/>
  <c r="L48" i="47"/>
  <c r="L108" i="47"/>
  <c r="L100" i="47"/>
  <c r="L106" i="47"/>
  <c r="L97" i="47"/>
  <c r="L49" i="47"/>
  <c r="L45" i="47"/>
  <c r="L99" i="47"/>
  <c r="E108" i="47"/>
  <c r="E95" i="47"/>
  <c r="E109" i="47"/>
  <c r="E43" i="47"/>
  <c r="E47" i="47"/>
  <c r="E96" i="47"/>
  <c r="E44" i="47"/>
  <c r="E48" i="47"/>
  <c r="E99" i="47"/>
  <c r="E104" i="47"/>
  <c r="E100" i="47"/>
  <c r="E105" i="47"/>
  <c r="T94" i="34"/>
  <c r="T119" i="47"/>
  <c r="H119" i="47"/>
  <c r="H117" i="47"/>
  <c r="M116" i="47"/>
  <c r="H116" i="47"/>
  <c r="T115" i="47"/>
  <c r="J115" i="47"/>
  <c r="K115" i="47" s="1"/>
  <c r="E115" i="47" s="1"/>
  <c r="H115" i="47"/>
  <c r="F115" i="47"/>
  <c r="T114" i="47"/>
  <c r="J114" i="47"/>
  <c r="K114" i="47" s="1"/>
  <c r="E114" i="47" s="1"/>
  <c r="H114" i="47"/>
  <c r="F114" i="47"/>
  <c r="T113" i="47"/>
  <c r="J113" i="47"/>
  <c r="K113" i="47" s="1"/>
  <c r="E113" i="47" s="1"/>
  <c r="H113" i="47"/>
  <c r="F113" i="47"/>
  <c r="T112" i="47"/>
  <c r="J112" i="47"/>
  <c r="K112" i="47" s="1"/>
  <c r="E112" i="47" s="1"/>
  <c r="H112" i="47"/>
  <c r="F112" i="47"/>
  <c r="T111" i="47"/>
  <c r="H111" i="47"/>
  <c r="E111" i="47"/>
  <c r="J107" i="47"/>
  <c r="H107" i="47"/>
  <c r="H103" i="47"/>
  <c r="T102" i="47"/>
  <c r="H102" i="47"/>
  <c r="H98" i="47"/>
  <c r="F98" i="47"/>
  <c r="H94" i="47"/>
  <c r="T93" i="47"/>
  <c r="H93" i="47"/>
  <c r="J91" i="47"/>
  <c r="H91" i="47"/>
  <c r="H89" i="47"/>
  <c r="T88" i="47"/>
  <c r="J88" i="47"/>
  <c r="K88" i="47" s="1"/>
  <c r="F88" i="47"/>
  <c r="T87" i="47"/>
  <c r="J87" i="47"/>
  <c r="K87" i="47" s="1"/>
  <c r="F87" i="47"/>
  <c r="T86" i="47"/>
  <c r="J86" i="47"/>
  <c r="K86" i="47" s="1"/>
  <c r="F86" i="47"/>
  <c r="T85" i="47"/>
  <c r="J85" i="47"/>
  <c r="K85" i="47" s="1"/>
  <c r="F85" i="47"/>
  <c r="E85" i="47"/>
  <c r="T84" i="47"/>
  <c r="J84" i="47"/>
  <c r="K84" i="47" s="1"/>
  <c r="H84" i="47"/>
  <c r="F84" i="47"/>
  <c r="E84" i="47"/>
  <c r="T83" i="47"/>
  <c r="J83" i="47"/>
  <c r="K83" i="47" s="1"/>
  <c r="F83" i="47"/>
  <c r="T82" i="47"/>
  <c r="J82" i="47"/>
  <c r="K82" i="47" s="1"/>
  <c r="F82" i="47"/>
  <c r="T81" i="47"/>
  <c r="J81" i="47"/>
  <c r="K81" i="47" s="1"/>
  <c r="F81" i="47"/>
  <c r="T80" i="47"/>
  <c r="J80" i="47"/>
  <c r="K80" i="47" s="1"/>
  <c r="F80" i="47"/>
  <c r="E80" i="47"/>
  <c r="T79" i="47"/>
  <c r="J79" i="47"/>
  <c r="K79" i="47" s="1"/>
  <c r="F79" i="47"/>
  <c r="H79" i="47" s="1"/>
  <c r="E79" i="47"/>
  <c r="T78" i="47"/>
  <c r="J78" i="47"/>
  <c r="T77" i="47"/>
  <c r="J77" i="47"/>
  <c r="T76" i="47"/>
  <c r="J76" i="47"/>
  <c r="T75" i="47"/>
  <c r="J75" i="47"/>
  <c r="E75" i="47"/>
  <c r="T74" i="47"/>
  <c r="C74" i="47"/>
  <c r="O74" i="47" s="1"/>
  <c r="T73" i="47"/>
  <c r="C73" i="47"/>
  <c r="O73" i="47" s="1"/>
  <c r="T72" i="47"/>
  <c r="C72" i="47"/>
  <c r="O72" i="47" s="1"/>
  <c r="T71" i="47"/>
  <c r="E71" i="47"/>
  <c r="C71" i="47"/>
  <c r="O71" i="47" s="1"/>
  <c r="T70" i="47"/>
  <c r="J70" i="47"/>
  <c r="H70" i="47"/>
  <c r="E70" i="47"/>
  <c r="T69" i="47"/>
  <c r="J69" i="47"/>
  <c r="H69" i="47"/>
  <c r="E69" i="47"/>
  <c r="T64" i="47"/>
  <c r="H64" i="47"/>
  <c r="E64" i="47"/>
  <c r="T63" i="47"/>
  <c r="J63" i="47"/>
  <c r="H63" i="47"/>
  <c r="E63" i="47"/>
  <c r="K61" i="47"/>
  <c r="J61" i="47" s="1"/>
  <c r="H61" i="47"/>
  <c r="K60" i="47"/>
  <c r="J60" i="47" s="1"/>
  <c r="H60" i="47"/>
  <c r="T59" i="47"/>
  <c r="J59" i="47"/>
  <c r="H59" i="47"/>
  <c r="F59" i="47"/>
  <c r="K58" i="47"/>
  <c r="J58" i="47" s="1"/>
  <c r="H58" i="47"/>
  <c r="M57" i="47"/>
  <c r="M60" i="47" s="1"/>
  <c r="H57" i="47"/>
  <c r="T56" i="47"/>
  <c r="J56" i="47"/>
  <c r="K56" i="47" s="1"/>
  <c r="E56" i="47" s="1"/>
  <c r="H56" i="47"/>
  <c r="F56" i="47"/>
  <c r="T55" i="47"/>
  <c r="J55" i="47"/>
  <c r="H55" i="47"/>
  <c r="E55" i="47"/>
  <c r="H53" i="47"/>
  <c r="C53" i="47"/>
  <c r="M52" i="47"/>
  <c r="H52" i="47"/>
  <c r="C52" i="47"/>
  <c r="T51" i="47"/>
  <c r="K51" i="47"/>
  <c r="E51" i="47" s="1"/>
  <c r="H51" i="47"/>
  <c r="C51" i="47"/>
  <c r="J46" i="47"/>
  <c r="H46" i="47"/>
  <c r="H42" i="47"/>
  <c r="F42" i="47"/>
  <c r="D42" i="47"/>
  <c r="J42" i="47" s="1"/>
  <c r="K42" i="47" s="1"/>
  <c r="J40" i="47"/>
  <c r="H40" i="47"/>
  <c r="T39" i="47"/>
  <c r="J39" i="47"/>
  <c r="K39" i="47" s="1"/>
  <c r="H39" i="47"/>
  <c r="F39" i="47"/>
  <c r="E39" i="47"/>
  <c r="T38" i="47"/>
  <c r="J38" i="47"/>
  <c r="K38" i="47" s="1"/>
  <c r="H38" i="47"/>
  <c r="F38" i="47"/>
  <c r="E38" i="47"/>
  <c r="T37" i="47"/>
  <c r="J37" i="47"/>
  <c r="K37" i="47" s="1"/>
  <c r="H37" i="47"/>
  <c r="F37" i="47"/>
  <c r="E37" i="47"/>
  <c r="T36" i="47"/>
  <c r="J36" i="47"/>
  <c r="K36" i="47" s="1"/>
  <c r="H36" i="47"/>
  <c r="F36" i="47"/>
  <c r="E36" i="47"/>
  <c r="T35" i="47"/>
  <c r="J35" i="47"/>
  <c r="K35" i="47" s="1"/>
  <c r="H35" i="47"/>
  <c r="F35" i="47"/>
  <c r="E35" i="47"/>
  <c r="T34" i="47"/>
  <c r="J34" i="47"/>
  <c r="K34" i="47" s="1"/>
  <c r="H34" i="47"/>
  <c r="F34" i="47"/>
  <c r="E34" i="47"/>
  <c r="T33" i="47"/>
  <c r="J33" i="47"/>
  <c r="K33" i="47" s="1"/>
  <c r="H33" i="47"/>
  <c r="F33" i="47"/>
  <c r="E33" i="47"/>
  <c r="T32" i="47"/>
  <c r="J32" i="47"/>
  <c r="K32" i="47" s="1"/>
  <c r="H32" i="47"/>
  <c r="F32" i="47"/>
  <c r="E32" i="47"/>
  <c r="T31" i="47"/>
  <c r="J31" i="47"/>
  <c r="K31" i="47" s="1"/>
  <c r="H31" i="47"/>
  <c r="F31" i="47"/>
  <c r="E31" i="47"/>
  <c r="T30" i="47"/>
  <c r="J30" i="47"/>
  <c r="K30" i="47" s="1"/>
  <c r="H30" i="47"/>
  <c r="F30" i="47"/>
  <c r="E30" i="47"/>
  <c r="T29" i="47"/>
  <c r="J29" i="47"/>
  <c r="K29" i="47" s="1"/>
  <c r="H29" i="47"/>
  <c r="F29" i="47"/>
  <c r="E29" i="47"/>
  <c r="T28" i="47"/>
  <c r="J28" i="47"/>
  <c r="K28" i="47" s="1"/>
  <c r="H28" i="47"/>
  <c r="F28" i="47"/>
  <c r="E28" i="47"/>
  <c r="T27" i="47"/>
  <c r="J27" i="47"/>
  <c r="K27" i="47" s="1"/>
  <c r="H27" i="47"/>
  <c r="F27" i="47"/>
  <c r="E27" i="47"/>
  <c r="T26" i="47"/>
  <c r="J26" i="47"/>
  <c r="K26" i="47" s="1"/>
  <c r="H26" i="47"/>
  <c r="F26" i="47"/>
  <c r="E26" i="47"/>
  <c r="T25" i="47"/>
  <c r="J25" i="47"/>
  <c r="K25" i="47" s="1"/>
  <c r="H25" i="47"/>
  <c r="F25" i="47"/>
  <c r="E25" i="47"/>
  <c r="T24" i="47"/>
  <c r="J24" i="47"/>
  <c r="K24" i="47" s="1"/>
  <c r="H24" i="47"/>
  <c r="F24" i="47"/>
  <c r="E24" i="47"/>
  <c r="T23" i="47"/>
  <c r="J23" i="47"/>
  <c r="K23" i="47" s="1"/>
  <c r="H23" i="47"/>
  <c r="F23" i="47"/>
  <c r="E23" i="47"/>
  <c r="T22" i="47"/>
  <c r="J22" i="47"/>
  <c r="K22" i="47" s="1"/>
  <c r="H22" i="47"/>
  <c r="F22" i="47"/>
  <c r="E22" i="47"/>
  <c r="T21" i="47"/>
  <c r="J21" i="47"/>
  <c r="K21" i="47" s="1"/>
  <c r="H21" i="47"/>
  <c r="F21" i="47"/>
  <c r="E21" i="47"/>
  <c r="T20" i="47"/>
  <c r="J20" i="47"/>
  <c r="K20" i="47" s="1"/>
  <c r="H20" i="47"/>
  <c r="F20" i="47"/>
  <c r="E20" i="47"/>
  <c r="T19" i="47"/>
  <c r="J19" i="47"/>
  <c r="K19" i="47" s="1"/>
  <c r="H19" i="47"/>
  <c r="F19" i="47"/>
  <c r="E19" i="47"/>
  <c r="T18" i="47"/>
  <c r="J18" i="47"/>
  <c r="K18" i="47" s="1"/>
  <c r="H18" i="47"/>
  <c r="F18" i="47"/>
  <c r="E18" i="47"/>
  <c r="T17" i="47"/>
  <c r="J17" i="47"/>
  <c r="K17" i="47" s="1"/>
  <c r="H17" i="47"/>
  <c r="F17" i="47"/>
  <c r="E17" i="47"/>
  <c r="T16" i="47"/>
  <c r="J16" i="47"/>
  <c r="K16" i="47" s="1"/>
  <c r="H16" i="47"/>
  <c r="F16" i="47"/>
  <c r="E16" i="47"/>
  <c r="T15" i="47"/>
  <c r="J15" i="47"/>
  <c r="K15" i="47" s="1"/>
  <c r="H15" i="47"/>
  <c r="F15" i="47"/>
  <c r="E15" i="47"/>
  <c r="T14" i="47"/>
  <c r="J14" i="47"/>
  <c r="K14" i="47" s="1"/>
  <c r="H14" i="47"/>
  <c r="F14" i="47"/>
  <c r="E14" i="47"/>
  <c r="T13" i="47"/>
  <c r="J13" i="47"/>
  <c r="K13" i="47" s="1"/>
  <c r="H13" i="47"/>
  <c r="F13" i="47"/>
  <c r="E13" i="47"/>
  <c r="T12" i="47"/>
  <c r="J12" i="47"/>
  <c r="K12" i="47" s="1"/>
  <c r="H12" i="47"/>
  <c r="F12" i="47"/>
  <c r="E12" i="47"/>
  <c r="T11" i="47"/>
  <c r="J11" i="47"/>
  <c r="K11" i="47" s="1"/>
  <c r="H11" i="47"/>
  <c r="F11" i="47"/>
  <c r="E11" i="47"/>
  <c r="T10" i="47"/>
  <c r="J10" i="47"/>
  <c r="K10" i="47" s="1"/>
  <c r="H10" i="47"/>
  <c r="F10" i="47"/>
  <c r="E10" i="47"/>
  <c r="A4" i="47"/>
  <c r="K3" i="47"/>
  <c r="I3" i="47"/>
  <c r="D2" i="47"/>
  <c r="K59" i="47" l="1"/>
  <c r="E59" i="47" s="1"/>
  <c r="K101" i="47"/>
  <c r="J101" i="47" s="1"/>
  <c r="K98" i="47"/>
  <c r="J98" i="47" s="1"/>
  <c r="K100" i="47"/>
  <c r="J100" i="47" s="1"/>
  <c r="K99" i="47"/>
  <c r="J99" i="47" s="1"/>
  <c r="E73" i="47"/>
  <c r="H74" i="47"/>
  <c r="C77" i="47"/>
  <c r="C82" i="47" s="1"/>
  <c r="H82" i="47" s="1"/>
  <c r="H73" i="47"/>
  <c r="J51" i="47"/>
  <c r="C75" i="47"/>
  <c r="E74" i="47"/>
  <c r="E72" i="47"/>
  <c r="C78" i="47"/>
  <c r="H72" i="47"/>
  <c r="H71" i="47"/>
  <c r="C76" i="47"/>
  <c r="M6" i="43"/>
  <c r="L6" i="43"/>
  <c r="E77" i="47" l="1"/>
  <c r="C87" i="47"/>
  <c r="H87" i="47" s="1"/>
  <c r="H77" i="47"/>
  <c r="C83" i="47"/>
  <c r="E78" i="47"/>
  <c r="H78" i="47"/>
  <c r="C81" i="47"/>
  <c r="E76" i="47"/>
  <c r="H76" i="47"/>
  <c r="C80" i="47"/>
  <c r="H75" i="47"/>
  <c r="A5" i="43"/>
  <c r="A3" i="37"/>
  <c r="C85" i="47" l="1"/>
  <c r="H85" i="47" s="1"/>
  <c r="H80" i="47"/>
  <c r="C86" i="47"/>
  <c r="E81" i="47"/>
  <c r="E82" i="47"/>
  <c r="H81" i="47"/>
  <c r="C88" i="47"/>
  <c r="E83" i="47"/>
  <c r="H83" i="47"/>
  <c r="AY438" i="37"/>
  <c r="BC438" i="37" s="1"/>
  <c r="BD438" i="37" s="1"/>
  <c r="Z438" i="37"/>
  <c r="X438" i="37"/>
  <c r="W438" i="37" s="1"/>
  <c r="AY436" i="37"/>
  <c r="AZ436" i="37" s="1"/>
  <c r="Z436" i="37"/>
  <c r="X436" i="37"/>
  <c r="G436" i="37" s="1"/>
  <c r="AY434" i="37"/>
  <c r="AZ434" i="37" s="1"/>
  <c r="Z434" i="37"/>
  <c r="X434" i="37"/>
  <c r="W434" i="37" s="1"/>
  <c r="BO432" i="37"/>
  <c r="BP432" i="37" s="1"/>
  <c r="BL432" i="37"/>
  <c r="BM432" i="37" s="1"/>
  <c r="BI432" i="37"/>
  <c r="BJ432" i="37" s="1"/>
  <c r="BF432" i="37"/>
  <c r="BH432" i="37" s="1"/>
  <c r="BK432" i="37" s="1"/>
  <c r="AY432" i="37"/>
  <c r="AZ432" i="37" s="1"/>
  <c r="Z432" i="37"/>
  <c r="X432" i="37"/>
  <c r="G432" i="37" s="1"/>
  <c r="BO430" i="37"/>
  <c r="BP430" i="37" s="1"/>
  <c r="BL430" i="37"/>
  <c r="BN430" i="37" s="1"/>
  <c r="BQ430" i="37" s="1"/>
  <c r="BI430" i="37"/>
  <c r="BJ430" i="37" s="1"/>
  <c r="BF430" i="37"/>
  <c r="BG430" i="37" s="1"/>
  <c r="AY430" i="37"/>
  <c r="BC430" i="37" s="1"/>
  <c r="BD430" i="37" s="1"/>
  <c r="Z430" i="37"/>
  <c r="X430" i="37"/>
  <c r="W430" i="37" s="1"/>
  <c r="BO428" i="37"/>
  <c r="BP428" i="37" s="1"/>
  <c r="BL428" i="37"/>
  <c r="BN428" i="37" s="1"/>
  <c r="BQ428" i="37" s="1"/>
  <c r="BI428" i="37"/>
  <c r="BJ428" i="37" s="1"/>
  <c r="BF428" i="37"/>
  <c r="BG428" i="37" s="1"/>
  <c r="AY428" i="37"/>
  <c r="AZ428" i="37" s="1"/>
  <c r="Z428" i="37"/>
  <c r="X428" i="37"/>
  <c r="W428" i="37" s="1"/>
  <c r="E86" i="47" l="1"/>
  <c r="H86" i="47"/>
  <c r="E87" i="47"/>
  <c r="E88" i="47"/>
  <c r="H88" i="47"/>
  <c r="BM430" i="37"/>
  <c r="BN432" i="37"/>
  <c r="BQ432" i="37" s="1"/>
  <c r="BC436" i="37"/>
  <c r="BD436" i="37" s="1"/>
  <c r="BH428" i="37"/>
  <c r="BK428" i="37" s="1"/>
  <c r="BC432" i="37"/>
  <c r="BD432" i="37" s="1"/>
  <c r="AZ438" i="37"/>
  <c r="BB438" i="37" s="1"/>
  <c r="BE438" i="37" s="1"/>
  <c r="G428" i="37"/>
  <c r="G430" i="37"/>
  <c r="G434" i="37"/>
  <c r="G438" i="37"/>
  <c r="W432" i="37"/>
  <c r="BB432" i="37"/>
  <c r="BE432" i="37" s="1"/>
  <c r="BA432" i="37"/>
  <c r="BB436" i="37"/>
  <c r="BE436" i="37" s="1"/>
  <c r="BA436" i="37"/>
  <c r="BB428" i="37"/>
  <c r="BA428" i="37"/>
  <c r="BB434" i="37"/>
  <c r="BA434" i="37"/>
  <c r="AZ430" i="37"/>
  <c r="BH430" i="37"/>
  <c r="BK430" i="37" s="1"/>
  <c r="BM428" i="37"/>
  <c r="BG432" i="37"/>
  <c r="W436" i="37"/>
  <c r="D8" i="31"/>
  <c r="BA438" i="37" l="1"/>
  <c r="BB430" i="37"/>
  <c r="BE430" i="37" s="1"/>
  <c r="BA430" i="37"/>
  <c r="T59" i="41" l="1"/>
  <c r="J59" i="41"/>
  <c r="H59" i="41"/>
  <c r="E59" i="41"/>
  <c r="AY456" i="37" l="1"/>
  <c r="BC456" i="37" s="1"/>
  <c r="BD456" i="37" s="1"/>
  <c r="Z456" i="37"/>
  <c r="X456" i="37"/>
  <c r="W456" i="37" s="1"/>
  <c r="AY454" i="37"/>
  <c r="AZ454" i="37" s="1"/>
  <c r="Z454" i="37"/>
  <c r="X454" i="37"/>
  <c r="AY452" i="37"/>
  <c r="AZ452" i="37" s="1"/>
  <c r="Z452" i="37"/>
  <c r="X452" i="37"/>
  <c r="G452" i="37" s="1"/>
  <c r="BO450" i="37"/>
  <c r="BP450" i="37" s="1"/>
  <c r="BL450" i="37"/>
  <c r="BN450" i="37" s="1"/>
  <c r="BQ450" i="37" s="1"/>
  <c r="BI450" i="37"/>
  <c r="BJ450" i="37" s="1"/>
  <c r="BF450" i="37"/>
  <c r="BH450" i="37" s="1"/>
  <c r="BK450" i="37" s="1"/>
  <c r="AY450" i="37"/>
  <c r="AZ450" i="37" s="1"/>
  <c r="Z450" i="37"/>
  <c r="X450" i="37"/>
  <c r="G450" i="37" s="1"/>
  <c r="BO448" i="37"/>
  <c r="BP448" i="37" s="1"/>
  <c r="BL448" i="37"/>
  <c r="BN448" i="37" s="1"/>
  <c r="BQ448" i="37" s="1"/>
  <c r="BI448" i="37"/>
  <c r="BJ448" i="37" s="1"/>
  <c r="BF448" i="37"/>
  <c r="BG448" i="37" s="1"/>
  <c r="AY448" i="37"/>
  <c r="BC448" i="37" s="1"/>
  <c r="BD448" i="37" s="1"/>
  <c r="Z448" i="37"/>
  <c r="X448" i="37"/>
  <c r="W448" i="37" s="1"/>
  <c r="BO446" i="37"/>
  <c r="BP446" i="37" s="1"/>
  <c r="BL446" i="37"/>
  <c r="BN446" i="37" s="1"/>
  <c r="BQ446" i="37" s="1"/>
  <c r="BI446" i="37"/>
  <c r="BJ446" i="37" s="1"/>
  <c r="BF446" i="37"/>
  <c r="BH446" i="37" s="1"/>
  <c r="BK446" i="37" s="1"/>
  <c r="AY446" i="37"/>
  <c r="AZ446" i="37" s="1"/>
  <c r="Z446" i="37"/>
  <c r="X446" i="37"/>
  <c r="W446" i="37" s="1"/>
  <c r="H50" i="41"/>
  <c r="BO444" i="37"/>
  <c r="BP444" i="37" s="1"/>
  <c r="BL444" i="37"/>
  <c r="BN444" i="37" s="1"/>
  <c r="BQ444" i="37" s="1"/>
  <c r="BI444" i="37"/>
  <c r="BJ444" i="37" s="1"/>
  <c r="BF444" i="37"/>
  <c r="BH444" i="37" s="1"/>
  <c r="BK444" i="37" s="1"/>
  <c r="AY444" i="37"/>
  <c r="AZ444" i="37" s="1"/>
  <c r="BB444" i="37" s="1"/>
  <c r="Z444" i="37"/>
  <c r="X444" i="37"/>
  <c r="W444" i="37" s="1"/>
  <c r="BO443" i="37"/>
  <c r="BP443" i="37" s="1"/>
  <c r="BL443" i="37"/>
  <c r="BN443" i="37" s="1"/>
  <c r="BQ443" i="37" s="1"/>
  <c r="BI443" i="37"/>
  <c r="BJ443" i="37" s="1"/>
  <c r="BF443" i="37"/>
  <c r="BG443" i="37" s="1"/>
  <c r="AY443" i="37"/>
  <c r="AZ443" i="37" s="1"/>
  <c r="BB443" i="37" s="1"/>
  <c r="Z443" i="37"/>
  <c r="X443" i="37"/>
  <c r="X441" i="37"/>
  <c r="W441" i="37" s="1"/>
  <c r="X440" i="37"/>
  <c r="W440" i="37" s="1"/>
  <c r="BO441" i="37"/>
  <c r="BP441" i="37" s="1"/>
  <c r="BL441" i="37"/>
  <c r="BN441" i="37" s="1"/>
  <c r="BQ441" i="37" s="1"/>
  <c r="BI441" i="37"/>
  <c r="BJ441" i="37" s="1"/>
  <c r="BF441" i="37"/>
  <c r="BH441" i="37" s="1"/>
  <c r="BK441" i="37" s="1"/>
  <c r="AY441" i="37"/>
  <c r="AZ441" i="37" s="1"/>
  <c r="Z441" i="37"/>
  <c r="BO440" i="37"/>
  <c r="BP440" i="37" s="1"/>
  <c r="BL440" i="37"/>
  <c r="BM440" i="37" s="1"/>
  <c r="BI440" i="37"/>
  <c r="BJ440" i="37" s="1"/>
  <c r="BF440" i="37"/>
  <c r="BG440" i="37" s="1"/>
  <c r="AY440" i="37"/>
  <c r="AZ440" i="37" s="1"/>
  <c r="Z440" i="37"/>
  <c r="BN440" i="37" l="1"/>
  <c r="BQ440" i="37" s="1"/>
  <c r="BM446" i="37"/>
  <c r="BC454" i="37"/>
  <c r="BD454" i="37" s="1"/>
  <c r="BC450" i="37"/>
  <c r="BD450" i="37" s="1"/>
  <c r="BM448" i="37"/>
  <c r="BH443" i="37"/>
  <c r="BK443" i="37" s="1"/>
  <c r="BM444" i="37"/>
  <c r="BG446" i="37"/>
  <c r="BG450" i="37"/>
  <c r="BG441" i="37"/>
  <c r="BA443" i="37"/>
  <c r="BA444" i="37"/>
  <c r="W454" i="37"/>
  <c r="BB446" i="37"/>
  <c r="BA446" i="37"/>
  <c r="BB454" i="37"/>
  <c r="BE454" i="37" s="1"/>
  <c r="BA454" i="37"/>
  <c r="BA450" i="37"/>
  <c r="BB450" i="37"/>
  <c r="BE450" i="37" s="1"/>
  <c r="BB452" i="37"/>
  <c r="BA452" i="37"/>
  <c r="AZ448" i="37"/>
  <c r="BH448" i="37"/>
  <c r="BK448" i="37" s="1"/>
  <c r="BM450" i="37"/>
  <c r="G446" i="37"/>
  <c r="G448" i="37"/>
  <c r="W452" i="37"/>
  <c r="AZ456" i="37"/>
  <c r="G456" i="37"/>
  <c r="W450" i="37"/>
  <c r="G454" i="37"/>
  <c r="W443" i="37"/>
  <c r="G444" i="37"/>
  <c r="G443" i="37"/>
  <c r="BM443" i="37"/>
  <c r="BG444" i="37"/>
  <c r="BB441" i="37"/>
  <c r="BA441" i="37"/>
  <c r="BB440" i="37"/>
  <c r="BA440" i="37"/>
  <c r="BH440" i="37"/>
  <c r="BK440" i="37" s="1"/>
  <c r="G441" i="37"/>
  <c r="BM441" i="37"/>
  <c r="G440" i="37"/>
  <c r="N123" i="34"/>
  <c r="T94" i="41"/>
  <c r="T90" i="41"/>
  <c r="T89" i="41"/>
  <c r="T88" i="41"/>
  <c r="T87" i="41"/>
  <c r="T86" i="41"/>
  <c r="T83" i="41"/>
  <c r="T80" i="41"/>
  <c r="T77" i="41"/>
  <c r="T76" i="41"/>
  <c r="T75" i="41"/>
  <c r="T74" i="41"/>
  <c r="T73" i="41"/>
  <c r="T72" i="41"/>
  <c r="T71" i="41"/>
  <c r="T70" i="41"/>
  <c r="T69" i="41"/>
  <c r="T68" i="41"/>
  <c r="T67" i="41"/>
  <c r="T66" i="41"/>
  <c r="T65" i="41"/>
  <c r="T64" i="41"/>
  <c r="T63" i="41"/>
  <c r="T62" i="41"/>
  <c r="T61" i="41"/>
  <c r="T60" i="41"/>
  <c r="T58" i="41"/>
  <c r="T57" i="41"/>
  <c r="T56" i="41"/>
  <c r="T52" i="41"/>
  <c r="T49" i="41"/>
  <c r="T48" i="41"/>
  <c r="T44" i="41"/>
  <c r="T39" i="41"/>
  <c r="T38" i="41"/>
  <c r="T37" i="41"/>
  <c r="T36" i="41"/>
  <c r="T35" i="41"/>
  <c r="T34" i="41"/>
  <c r="T33" i="41"/>
  <c r="T32" i="41"/>
  <c r="T31" i="41"/>
  <c r="T30" i="41"/>
  <c r="T29" i="41"/>
  <c r="T28" i="41"/>
  <c r="T27" i="41"/>
  <c r="T26" i="41"/>
  <c r="T25" i="41"/>
  <c r="T24" i="41"/>
  <c r="T23" i="41"/>
  <c r="T22" i="41"/>
  <c r="T21" i="41"/>
  <c r="T20" i="41"/>
  <c r="T19" i="41"/>
  <c r="T18" i="41"/>
  <c r="T17" i="41"/>
  <c r="T16" i="41"/>
  <c r="T15" i="41"/>
  <c r="T14" i="41"/>
  <c r="T13" i="41"/>
  <c r="T12" i="41"/>
  <c r="T11" i="41"/>
  <c r="T10" i="41"/>
  <c r="BO426" i="37"/>
  <c r="BP426" i="37" s="1"/>
  <c r="BL426" i="37"/>
  <c r="BN426" i="37" s="1"/>
  <c r="BQ426" i="37" s="1"/>
  <c r="BI426" i="37"/>
  <c r="BJ426" i="37" s="1"/>
  <c r="BF426" i="37"/>
  <c r="BH426" i="37" s="1"/>
  <c r="BK426" i="37" s="1"/>
  <c r="AY426" i="37"/>
  <c r="AZ426" i="37" s="1"/>
  <c r="AV426" i="37"/>
  <c r="Z426" i="37"/>
  <c r="X426" i="37"/>
  <c r="W426" i="37" s="1"/>
  <c r="BO425" i="37"/>
  <c r="BP425" i="37" s="1"/>
  <c r="BL425" i="37"/>
  <c r="BM425" i="37" s="1"/>
  <c r="BI425" i="37"/>
  <c r="BJ425" i="37" s="1"/>
  <c r="BF425" i="37"/>
  <c r="BH425" i="37" s="1"/>
  <c r="BK425" i="37" s="1"/>
  <c r="AY425" i="37"/>
  <c r="AZ425" i="37" s="1"/>
  <c r="BA425" i="37" s="1"/>
  <c r="AV425" i="37"/>
  <c r="Z425" i="37"/>
  <c r="X425" i="37"/>
  <c r="G425" i="37" s="1"/>
  <c r="BO423" i="37"/>
  <c r="BP423" i="37" s="1"/>
  <c r="BL423" i="37"/>
  <c r="BN423" i="37" s="1"/>
  <c r="BQ423" i="37" s="1"/>
  <c r="BI423" i="37"/>
  <c r="BJ423" i="37" s="1"/>
  <c r="BF423" i="37"/>
  <c r="BH423" i="37" s="1"/>
  <c r="BK423" i="37" s="1"/>
  <c r="AY423" i="37"/>
  <c r="AZ423" i="37" s="1"/>
  <c r="BB423" i="37" s="1"/>
  <c r="AV423" i="37"/>
  <c r="Z423" i="37"/>
  <c r="X423" i="37"/>
  <c r="W423" i="37" s="1"/>
  <c r="BO422" i="37"/>
  <c r="BP422" i="37" s="1"/>
  <c r="BL422" i="37"/>
  <c r="BN422" i="37" s="1"/>
  <c r="BQ422" i="37" s="1"/>
  <c r="BI422" i="37"/>
  <c r="BJ422" i="37" s="1"/>
  <c r="BF422" i="37"/>
  <c r="BG422" i="37" s="1"/>
  <c r="AY422" i="37"/>
  <c r="AZ422" i="37" s="1"/>
  <c r="AV422" i="37"/>
  <c r="Z422" i="37"/>
  <c r="X422" i="37"/>
  <c r="W422" i="37" s="1"/>
  <c r="AY416" i="37"/>
  <c r="AZ416" i="37" s="1"/>
  <c r="BB416" i="37" s="1"/>
  <c r="BB456" i="37" l="1"/>
  <c r="BE456" i="37" s="1"/>
  <c r="BA456" i="37"/>
  <c r="BB448" i="37"/>
  <c r="BE448" i="37" s="1"/>
  <c r="BA448" i="37"/>
  <c r="BM426" i="37"/>
  <c r="BA422" i="37"/>
  <c r="BB422" i="37"/>
  <c r="BA426" i="37"/>
  <c r="BB426" i="37"/>
  <c r="BB425" i="37"/>
  <c r="BA423" i="37"/>
  <c r="BH422" i="37"/>
  <c r="BK422" i="37" s="1"/>
  <c r="BN425" i="37"/>
  <c r="BQ425" i="37" s="1"/>
  <c r="W425" i="37"/>
  <c r="BG425" i="37"/>
  <c r="G426" i="37"/>
  <c r="BG426" i="37"/>
  <c r="BM423" i="37"/>
  <c r="G423" i="37"/>
  <c r="BM422" i="37"/>
  <c r="BG423" i="37"/>
  <c r="G422" i="37"/>
  <c r="BA416" i="37"/>
  <c r="BO417" i="37"/>
  <c r="BP417" i="37" s="1"/>
  <c r="BL417" i="37"/>
  <c r="BN417" i="37" s="1"/>
  <c r="BQ417" i="37" s="1"/>
  <c r="BI417" i="37"/>
  <c r="BJ417" i="37" s="1"/>
  <c r="BF417" i="37"/>
  <c r="BH417" i="37" s="1"/>
  <c r="BK417" i="37" s="1"/>
  <c r="AY417" i="37"/>
  <c r="AZ417" i="37" s="1"/>
  <c r="BB417" i="37" s="1"/>
  <c r="AV417" i="37"/>
  <c r="Z417" i="37"/>
  <c r="X417" i="37"/>
  <c r="W417" i="37" s="1"/>
  <c r="BO416" i="37"/>
  <c r="BP416" i="37" s="1"/>
  <c r="BL416" i="37"/>
  <c r="BM416" i="37" s="1"/>
  <c r="BI416" i="37"/>
  <c r="BJ416" i="37" s="1"/>
  <c r="BF416" i="37"/>
  <c r="BG416" i="37" s="1"/>
  <c r="AV416" i="37"/>
  <c r="Z416" i="37"/>
  <c r="X416" i="37"/>
  <c r="W416" i="37" s="1"/>
  <c r="BO420" i="37"/>
  <c r="BP420" i="37" s="1"/>
  <c r="BL420" i="37"/>
  <c r="BN420" i="37" s="1"/>
  <c r="BQ420" i="37" s="1"/>
  <c r="BI420" i="37"/>
  <c r="BJ420" i="37" s="1"/>
  <c r="BF420" i="37"/>
  <c r="BH420" i="37" s="1"/>
  <c r="BK420" i="37" s="1"/>
  <c r="AY420" i="37"/>
  <c r="AZ420" i="37" s="1"/>
  <c r="BB420" i="37" s="1"/>
  <c r="AV420" i="37"/>
  <c r="Z420" i="37"/>
  <c r="X420" i="37"/>
  <c r="G420" i="37" s="1"/>
  <c r="BO419" i="37"/>
  <c r="BP419" i="37" s="1"/>
  <c r="BL419" i="37"/>
  <c r="BN419" i="37" s="1"/>
  <c r="BQ419" i="37" s="1"/>
  <c r="BI419" i="37"/>
  <c r="BJ419" i="37" s="1"/>
  <c r="BF419" i="37"/>
  <c r="BH419" i="37" s="1"/>
  <c r="BK419" i="37" s="1"/>
  <c r="AY419" i="37"/>
  <c r="AZ419" i="37" s="1"/>
  <c r="BB419" i="37" s="1"/>
  <c r="AV419" i="37"/>
  <c r="Z419" i="37"/>
  <c r="X419" i="37"/>
  <c r="W419" i="37" s="1"/>
  <c r="BA419" i="37" l="1"/>
  <c r="BA420" i="37"/>
  <c r="BA417" i="37"/>
  <c r="BN416" i="37"/>
  <c r="BQ416" i="37" s="1"/>
  <c r="G416" i="37"/>
  <c r="BH416" i="37"/>
  <c r="BK416" i="37" s="1"/>
  <c r="BM417" i="37"/>
  <c r="G417" i="37"/>
  <c r="BG417" i="37"/>
  <c r="BG420" i="37"/>
  <c r="BM420" i="37"/>
  <c r="W420" i="37"/>
  <c r="BM419" i="37"/>
  <c r="G419" i="37"/>
  <c r="BG419" i="37"/>
  <c r="N4" i="31"/>
  <c r="N2" i="31"/>
  <c r="E26" i="31" l="1"/>
  <c r="I4" i="37" l="1"/>
  <c r="L53" i="34" l="1"/>
  <c r="E37" i="31" l="1"/>
  <c r="F2" i="40" l="1"/>
  <c r="L2" i="43" l="1"/>
  <c r="AM1" i="37"/>
  <c r="I1" i="46"/>
  <c r="A4" i="41"/>
  <c r="BO361" i="37" l="1"/>
  <c r="BP361" i="37" s="1"/>
  <c r="BL361" i="37"/>
  <c r="BM361" i="37" s="1"/>
  <c r="BI361" i="37"/>
  <c r="BJ361" i="37" s="1"/>
  <c r="BF361" i="37"/>
  <c r="BH361" i="37" s="1"/>
  <c r="BK361" i="37" s="1"/>
  <c r="AY361" i="37"/>
  <c r="AZ361" i="37" s="1"/>
  <c r="BA361" i="37" s="1"/>
  <c r="Z361" i="37"/>
  <c r="J361" i="37"/>
  <c r="X361" i="37" s="1"/>
  <c r="BO360" i="37"/>
  <c r="BP360" i="37" s="1"/>
  <c r="BL360" i="37"/>
  <c r="BN360" i="37" s="1"/>
  <c r="BQ360" i="37" s="1"/>
  <c r="BI360" i="37"/>
  <c r="BJ360" i="37" s="1"/>
  <c r="BF360" i="37"/>
  <c r="BH360" i="37" s="1"/>
  <c r="BK360" i="37" s="1"/>
  <c r="AY360" i="37"/>
  <c r="AZ360" i="37" s="1"/>
  <c r="BA360" i="37" s="1"/>
  <c r="Z360" i="37"/>
  <c r="J360" i="37"/>
  <c r="X360" i="37" s="1"/>
  <c r="BO292" i="37"/>
  <c r="BP292" i="37" s="1"/>
  <c r="BL292" i="37"/>
  <c r="BM292" i="37" s="1"/>
  <c r="BI292" i="37"/>
  <c r="BJ292" i="37" s="1"/>
  <c r="BF292" i="37"/>
  <c r="BH292" i="37" s="1"/>
  <c r="BK292" i="37" s="1"/>
  <c r="AY292" i="37"/>
  <c r="AZ292" i="37" s="1"/>
  <c r="BA292" i="37" s="1"/>
  <c r="Z292" i="37"/>
  <c r="J292" i="37"/>
  <c r="X292" i="37" s="1"/>
  <c r="BO291" i="37"/>
  <c r="BP291" i="37" s="1"/>
  <c r="BL291" i="37"/>
  <c r="BN291" i="37" s="1"/>
  <c r="BQ291" i="37" s="1"/>
  <c r="BI291" i="37"/>
  <c r="BJ291" i="37" s="1"/>
  <c r="BF291" i="37"/>
  <c r="BH291" i="37" s="1"/>
  <c r="BK291" i="37" s="1"/>
  <c r="AY291" i="37"/>
  <c r="AZ291" i="37" s="1"/>
  <c r="BA291" i="37" s="1"/>
  <c r="Z291" i="37"/>
  <c r="J291" i="37"/>
  <c r="X291" i="37" s="1"/>
  <c r="J220" i="37"/>
  <c r="C46" i="41"/>
  <c r="C45" i="41"/>
  <c r="C44" i="41"/>
  <c r="J257" i="37"/>
  <c r="J413" i="37"/>
  <c r="J412" i="37"/>
  <c r="J411" i="37"/>
  <c r="J410" i="37"/>
  <c r="J409" i="37"/>
  <c r="J408" i="37"/>
  <c r="J407" i="37"/>
  <c r="J406" i="37"/>
  <c r="J405" i="37"/>
  <c r="J404" i="37"/>
  <c r="J403" i="37"/>
  <c r="J402" i="37"/>
  <c r="J401" i="37"/>
  <c r="J400" i="37"/>
  <c r="J399" i="37"/>
  <c r="J398" i="37"/>
  <c r="J397" i="37"/>
  <c r="J396" i="37"/>
  <c r="J395" i="37"/>
  <c r="J394" i="37"/>
  <c r="J393" i="37"/>
  <c r="J392" i="37"/>
  <c r="J391" i="37"/>
  <c r="J390" i="37"/>
  <c r="J389" i="37"/>
  <c r="J388" i="37"/>
  <c r="J387" i="37"/>
  <c r="J386" i="37"/>
  <c r="J385" i="37"/>
  <c r="J384" i="37"/>
  <c r="J383" i="37"/>
  <c r="J382" i="37"/>
  <c r="J381" i="37"/>
  <c r="J380" i="37"/>
  <c r="J379" i="37"/>
  <c r="J378" i="37"/>
  <c r="J377" i="37"/>
  <c r="J376" i="37"/>
  <c r="J375" i="37"/>
  <c r="J374" i="37"/>
  <c r="J373" i="37"/>
  <c r="J372" i="37"/>
  <c r="J371" i="37"/>
  <c r="J370" i="37"/>
  <c r="J369" i="37"/>
  <c r="J368" i="37"/>
  <c r="J367" i="37"/>
  <c r="J366" i="37"/>
  <c r="J365" i="37"/>
  <c r="J364" i="37"/>
  <c r="J363" i="37"/>
  <c r="J362" i="37"/>
  <c r="J359" i="37"/>
  <c r="J358" i="37"/>
  <c r="J356" i="37"/>
  <c r="J355" i="37"/>
  <c r="J354" i="37"/>
  <c r="J353" i="37"/>
  <c r="J352" i="37"/>
  <c r="J351" i="37"/>
  <c r="J350" i="37"/>
  <c r="J349" i="37"/>
  <c r="J348" i="37"/>
  <c r="J347" i="37"/>
  <c r="J346" i="37"/>
  <c r="J345" i="37"/>
  <c r="J344" i="37"/>
  <c r="J343" i="37"/>
  <c r="J342" i="37"/>
  <c r="J341" i="37"/>
  <c r="J340" i="37"/>
  <c r="J339" i="37"/>
  <c r="J338" i="37"/>
  <c r="J337" i="37"/>
  <c r="J336" i="37"/>
  <c r="J335" i="37"/>
  <c r="J334" i="37"/>
  <c r="J333" i="37"/>
  <c r="J332" i="37"/>
  <c r="J331" i="37"/>
  <c r="J330" i="37"/>
  <c r="J329" i="37"/>
  <c r="J328" i="37"/>
  <c r="J327" i="37"/>
  <c r="J326" i="37"/>
  <c r="J325" i="37"/>
  <c r="J324" i="37"/>
  <c r="J323" i="37"/>
  <c r="J322" i="37"/>
  <c r="J321" i="37"/>
  <c r="J314" i="37"/>
  <c r="J313" i="37"/>
  <c r="J312" i="37"/>
  <c r="J311" i="37"/>
  <c r="J310" i="37"/>
  <c r="J309" i="37"/>
  <c r="J308" i="37"/>
  <c r="J307" i="37"/>
  <c r="J306" i="37"/>
  <c r="J305" i="37"/>
  <c r="J298" i="37"/>
  <c r="J297" i="37"/>
  <c r="J296" i="37"/>
  <c r="J295" i="37"/>
  <c r="J294" i="37"/>
  <c r="J293" i="37"/>
  <c r="J290" i="37"/>
  <c r="J289" i="37"/>
  <c r="H44" i="41"/>
  <c r="H46" i="41"/>
  <c r="H45" i="41"/>
  <c r="J287" i="37"/>
  <c r="J286" i="37"/>
  <c r="J285" i="37"/>
  <c r="J284" i="37"/>
  <c r="J283" i="37"/>
  <c r="J282" i="37"/>
  <c r="J281" i="37"/>
  <c r="J280" i="37"/>
  <c r="J279" i="37"/>
  <c r="J278" i="37"/>
  <c r="J277" i="37"/>
  <c r="J276" i="37"/>
  <c r="J275" i="37"/>
  <c r="J274" i="37"/>
  <c r="J273" i="37"/>
  <c r="J272" i="37"/>
  <c r="J271" i="37"/>
  <c r="J270" i="37"/>
  <c r="J269" i="37"/>
  <c r="J268" i="37"/>
  <c r="J267" i="37"/>
  <c r="J266" i="37"/>
  <c r="J265" i="37"/>
  <c r="J264" i="37"/>
  <c r="J263" i="37"/>
  <c r="J262" i="37"/>
  <c r="J261" i="37"/>
  <c r="J260" i="37"/>
  <c r="J259" i="37"/>
  <c r="J258" i="37"/>
  <c r="J256" i="37"/>
  <c r="J255" i="37"/>
  <c r="J254" i="37"/>
  <c r="J253" i="37"/>
  <c r="J252" i="37"/>
  <c r="J245" i="37"/>
  <c r="J244" i="37"/>
  <c r="J243" i="37"/>
  <c r="J242" i="37"/>
  <c r="J241" i="37"/>
  <c r="J240" i="37"/>
  <c r="J239" i="37"/>
  <c r="J238" i="37"/>
  <c r="J237" i="37"/>
  <c r="J236" i="37"/>
  <c r="J229" i="37"/>
  <c r="J228" i="37"/>
  <c r="J227" i="37"/>
  <c r="J226" i="37"/>
  <c r="J225" i="37"/>
  <c r="J224" i="37"/>
  <c r="J223" i="37"/>
  <c r="X223" i="37" s="1"/>
  <c r="J222" i="37"/>
  <c r="X222" i="37" s="1"/>
  <c r="W222" i="37" s="1"/>
  <c r="J221" i="37"/>
  <c r="BO223" i="37"/>
  <c r="BP223" i="37" s="1"/>
  <c r="BL223" i="37"/>
  <c r="BM223" i="37" s="1"/>
  <c r="BI223" i="37"/>
  <c r="BJ223" i="37" s="1"/>
  <c r="BF223" i="37"/>
  <c r="BG223" i="37" s="1"/>
  <c r="AY223" i="37"/>
  <c r="AZ223" i="37" s="1"/>
  <c r="BA223" i="37" s="1"/>
  <c r="Z223" i="37"/>
  <c r="BO222" i="37"/>
  <c r="BP222" i="37" s="1"/>
  <c r="BL222" i="37"/>
  <c r="BM222" i="37" s="1"/>
  <c r="BI222" i="37"/>
  <c r="BJ222" i="37" s="1"/>
  <c r="BF222" i="37"/>
  <c r="BG222" i="37" s="1"/>
  <c r="AY222" i="37"/>
  <c r="AZ222" i="37" s="1"/>
  <c r="BA222" i="37" s="1"/>
  <c r="Z222" i="37"/>
  <c r="BM360" i="37" l="1"/>
  <c r="BN361" i="37"/>
  <c r="BQ361" i="37" s="1"/>
  <c r="BM291" i="37"/>
  <c r="BN292" i="37"/>
  <c r="BQ292" i="37" s="1"/>
  <c r="G360" i="37"/>
  <c r="W360" i="37"/>
  <c r="G361" i="37"/>
  <c r="W361" i="37"/>
  <c r="BG360" i="37"/>
  <c r="BG361" i="37"/>
  <c r="W291" i="37"/>
  <c r="G291" i="37"/>
  <c r="G292" i="37"/>
  <c r="W292" i="37"/>
  <c r="BG292" i="37"/>
  <c r="BG291" i="37"/>
  <c r="BH222" i="37"/>
  <c r="BK222" i="37" s="1"/>
  <c r="BN223" i="37"/>
  <c r="BQ223" i="37" s="1"/>
  <c r="G223" i="37"/>
  <c r="W223" i="37"/>
  <c r="G222" i="37"/>
  <c r="BN222" i="37"/>
  <c r="BQ222" i="37" s="1"/>
  <c r="BH223" i="37"/>
  <c r="BK223" i="37" s="1"/>
  <c r="B4" i="43"/>
  <c r="B1" i="46"/>
  <c r="A42" i="31"/>
  <c r="AZ165" i="37" l="1"/>
  <c r="DD195" i="37"/>
  <c r="DC195" i="37"/>
  <c r="DB195" i="37"/>
  <c r="DA195" i="37"/>
  <c r="CZ195" i="37"/>
  <c r="CY195" i="37"/>
  <c r="CX195" i="37"/>
  <c r="CW195" i="37"/>
  <c r="CV195" i="37"/>
  <c r="CU195" i="37"/>
  <c r="CT195" i="37"/>
  <c r="CS195" i="37"/>
  <c r="CR195" i="37"/>
  <c r="CQ195" i="37"/>
  <c r="CP195" i="37"/>
  <c r="CO195" i="37"/>
  <c r="CN195" i="37"/>
  <c r="CM195" i="37"/>
  <c r="CL195" i="37"/>
  <c r="CK195" i="37"/>
  <c r="CJ195" i="37"/>
  <c r="CI195" i="37"/>
  <c r="CH195" i="37"/>
  <c r="CG195" i="37"/>
  <c r="CF195" i="37"/>
  <c r="CE195" i="37"/>
  <c r="CD195" i="37"/>
  <c r="CC195" i="37"/>
  <c r="CB195" i="37"/>
  <c r="CA195" i="37"/>
  <c r="BZ195" i="37"/>
  <c r="BY195" i="37"/>
  <c r="BX195" i="37"/>
  <c r="BV195" i="37"/>
  <c r="BT195" i="37"/>
  <c r="BS195" i="37"/>
  <c r="BR195" i="37"/>
  <c r="BO195" i="37"/>
  <c r="BP195" i="37" s="1"/>
  <c r="BI195" i="37"/>
  <c r="BF195" i="37"/>
  <c r="BG195" i="37" s="1"/>
  <c r="AZ195" i="37"/>
  <c r="DD194" i="37"/>
  <c r="DC194" i="37"/>
  <c r="DB194" i="37"/>
  <c r="DA194" i="37"/>
  <c r="CZ194" i="37"/>
  <c r="CY194" i="37"/>
  <c r="CX194" i="37"/>
  <c r="CW194" i="37"/>
  <c r="CV194" i="37"/>
  <c r="CU194" i="37"/>
  <c r="CT194" i="37"/>
  <c r="CS194" i="37"/>
  <c r="CR194" i="37"/>
  <c r="CQ194" i="37"/>
  <c r="CP194" i="37"/>
  <c r="CO194" i="37"/>
  <c r="CN194" i="37"/>
  <c r="CM194" i="37"/>
  <c r="CL194" i="37"/>
  <c r="CK194" i="37"/>
  <c r="CJ194" i="37"/>
  <c r="CI194" i="37"/>
  <c r="CH194" i="37"/>
  <c r="CG194" i="37"/>
  <c r="CF194" i="37"/>
  <c r="CE194" i="37"/>
  <c r="CD194" i="37"/>
  <c r="CC194" i="37"/>
  <c r="CB194" i="37"/>
  <c r="CA194" i="37"/>
  <c r="BZ194" i="37"/>
  <c r="BY194" i="37"/>
  <c r="BX194" i="37"/>
  <c r="BV194" i="37"/>
  <c r="BT194" i="37"/>
  <c r="BS194" i="37"/>
  <c r="BR194" i="37"/>
  <c r="BO194" i="37"/>
  <c r="BP194" i="37" s="1"/>
  <c r="BI194" i="37"/>
  <c r="BF194" i="37"/>
  <c r="BG194" i="37" s="1"/>
  <c r="AZ194" i="37"/>
  <c r="DD193" i="37"/>
  <c r="DC193" i="37"/>
  <c r="DB193" i="37"/>
  <c r="DA193" i="37"/>
  <c r="CZ193" i="37"/>
  <c r="CY193" i="37"/>
  <c r="CX193" i="37"/>
  <c r="CW193" i="37"/>
  <c r="CV193" i="37"/>
  <c r="CU193" i="37"/>
  <c r="CT193" i="37"/>
  <c r="CS193" i="37"/>
  <c r="CR193" i="37"/>
  <c r="CQ193" i="37"/>
  <c r="CP193" i="37"/>
  <c r="CO193" i="37"/>
  <c r="CN193" i="37"/>
  <c r="CM193" i="37"/>
  <c r="CL193" i="37"/>
  <c r="CK193" i="37"/>
  <c r="CJ193" i="37"/>
  <c r="CI193" i="37"/>
  <c r="CH193" i="37"/>
  <c r="CG193" i="37"/>
  <c r="CF193" i="37"/>
  <c r="CE193" i="37"/>
  <c r="CD193" i="37"/>
  <c r="CC193" i="37"/>
  <c r="CB193" i="37"/>
  <c r="CA193" i="37"/>
  <c r="BZ193" i="37"/>
  <c r="BY193" i="37"/>
  <c r="BX193" i="37"/>
  <c r="BV193" i="37"/>
  <c r="BT193" i="37"/>
  <c r="BS193" i="37"/>
  <c r="BR193" i="37"/>
  <c r="BO193" i="37"/>
  <c r="BP193" i="37" s="1"/>
  <c r="BI193" i="37"/>
  <c r="BF193" i="37"/>
  <c r="BG193" i="37" s="1"/>
  <c r="AZ193" i="37"/>
  <c r="DD192" i="37"/>
  <c r="DC192" i="37"/>
  <c r="DB192" i="37"/>
  <c r="DA192" i="37"/>
  <c r="CZ192" i="37"/>
  <c r="CY192" i="37"/>
  <c r="CX192" i="37"/>
  <c r="CW192" i="37"/>
  <c r="CV192" i="37"/>
  <c r="CU192" i="37"/>
  <c r="CT192" i="37"/>
  <c r="CS192" i="37"/>
  <c r="CR192" i="37"/>
  <c r="CQ192" i="37"/>
  <c r="CP192" i="37"/>
  <c r="CO192" i="37"/>
  <c r="CN192" i="37"/>
  <c r="CM192" i="37"/>
  <c r="CL192" i="37"/>
  <c r="CK192" i="37"/>
  <c r="CJ192" i="37"/>
  <c r="CI192" i="37"/>
  <c r="CH192" i="37"/>
  <c r="CG192" i="37"/>
  <c r="CF192" i="37"/>
  <c r="CE192" i="37"/>
  <c r="CD192" i="37"/>
  <c r="CC192" i="37"/>
  <c r="CB192" i="37"/>
  <c r="CA192" i="37"/>
  <c r="BZ192" i="37"/>
  <c r="BY192" i="37"/>
  <c r="BX192" i="37"/>
  <c r="BV192" i="37"/>
  <c r="BT192" i="37"/>
  <c r="BS192" i="37"/>
  <c r="BR192" i="37"/>
  <c r="BO192" i="37"/>
  <c r="BP192" i="37" s="1"/>
  <c r="BI192" i="37"/>
  <c r="BF192" i="37"/>
  <c r="BG192" i="37" s="1"/>
  <c r="AZ192" i="37"/>
  <c r="DD191" i="37"/>
  <c r="DC191" i="37"/>
  <c r="DB191" i="37"/>
  <c r="DA191" i="37"/>
  <c r="CZ191" i="37"/>
  <c r="CY191" i="37"/>
  <c r="CX191" i="37"/>
  <c r="CW191" i="37"/>
  <c r="CV191" i="37"/>
  <c r="CU191" i="37"/>
  <c r="CT191" i="37"/>
  <c r="CS191" i="37"/>
  <c r="CR191" i="37"/>
  <c r="CQ191" i="37"/>
  <c r="CP191" i="37"/>
  <c r="CO191" i="37"/>
  <c r="CN191" i="37"/>
  <c r="CM191" i="37"/>
  <c r="CL191" i="37"/>
  <c r="CK191" i="37"/>
  <c r="CJ191" i="37"/>
  <c r="CI191" i="37"/>
  <c r="CH191" i="37"/>
  <c r="CG191" i="37"/>
  <c r="CF191" i="37"/>
  <c r="CE191" i="37"/>
  <c r="CD191" i="37"/>
  <c r="CC191" i="37"/>
  <c r="CB191" i="37"/>
  <c r="CA191" i="37"/>
  <c r="BZ191" i="37"/>
  <c r="BY191" i="37"/>
  <c r="BX191" i="37"/>
  <c r="BW191" i="37"/>
  <c r="BV191" i="37"/>
  <c r="BU191" i="37"/>
  <c r="BT191" i="37"/>
  <c r="BS191" i="37"/>
  <c r="BR191" i="37"/>
  <c r="BO191" i="37"/>
  <c r="BP191" i="37" s="1"/>
  <c r="BI191" i="37"/>
  <c r="BF191" i="37"/>
  <c r="BG191" i="37" s="1"/>
  <c r="AZ191" i="37"/>
  <c r="DD190" i="37"/>
  <c r="DC190" i="37"/>
  <c r="DB190" i="37"/>
  <c r="DA190" i="37"/>
  <c r="CZ190" i="37"/>
  <c r="CY190" i="37"/>
  <c r="CX190" i="37"/>
  <c r="CW190" i="37"/>
  <c r="CV190" i="37"/>
  <c r="CU190" i="37"/>
  <c r="CT190" i="37"/>
  <c r="CS190" i="37"/>
  <c r="CR190" i="37"/>
  <c r="CQ190" i="37"/>
  <c r="CP190" i="37"/>
  <c r="CO190" i="37"/>
  <c r="CN190" i="37"/>
  <c r="CM190" i="37"/>
  <c r="CL190" i="37"/>
  <c r="CK190" i="37"/>
  <c r="CJ190" i="37"/>
  <c r="CI190" i="37"/>
  <c r="CH190" i="37"/>
  <c r="CG190" i="37"/>
  <c r="CF190" i="37"/>
  <c r="CE190" i="37"/>
  <c r="CD190" i="37"/>
  <c r="CC190" i="37"/>
  <c r="CB190" i="37"/>
  <c r="CA190" i="37"/>
  <c r="BZ190" i="37"/>
  <c r="BY190" i="37"/>
  <c r="BX190" i="37"/>
  <c r="BW190" i="37"/>
  <c r="BV190" i="37"/>
  <c r="BU190" i="37"/>
  <c r="BT190" i="37"/>
  <c r="BS190" i="37"/>
  <c r="BR190" i="37"/>
  <c r="BO190" i="37"/>
  <c r="BP190" i="37" s="1"/>
  <c r="BI190" i="37"/>
  <c r="BF190" i="37"/>
  <c r="BG190" i="37" s="1"/>
  <c r="AZ190" i="37"/>
  <c r="DD189" i="37"/>
  <c r="DC189" i="37"/>
  <c r="DB189" i="37"/>
  <c r="DA189" i="37"/>
  <c r="CZ189" i="37"/>
  <c r="CY189" i="37"/>
  <c r="CX189" i="37"/>
  <c r="CW189" i="37"/>
  <c r="CV189" i="37"/>
  <c r="CU189" i="37"/>
  <c r="CT189" i="37"/>
  <c r="CS189" i="37"/>
  <c r="CR189" i="37"/>
  <c r="CQ189" i="37"/>
  <c r="CP189" i="37"/>
  <c r="CO189" i="37"/>
  <c r="CN189" i="37"/>
  <c r="CM189" i="37"/>
  <c r="CL189" i="37"/>
  <c r="CK189" i="37"/>
  <c r="CJ189" i="37"/>
  <c r="CI189" i="37"/>
  <c r="CH189" i="37"/>
  <c r="CG189" i="37"/>
  <c r="CF189" i="37"/>
  <c r="CE189" i="37"/>
  <c r="CD189" i="37"/>
  <c r="CC189" i="37"/>
  <c r="CB189" i="37"/>
  <c r="CA189" i="37"/>
  <c r="BZ189" i="37"/>
  <c r="BY189" i="37"/>
  <c r="BX189" i="37"/>
  <c r="BW189" i="37"/>
  <c r="BV189" i="37"/>
  <c r="BU189" i="37"/>
  <c r="BT189" i="37"/>
  <c r="BS189" i="37"/>
  <c r="BR189" i="37"/>
  <c r="BO189" i="37"/>
  <c r="BP189" i="37" s="1"/>
  <c r="BI189" i="37"/>
  <c r="BF189" i="37"/>
  <c r="BG189" i="37" s="1"/>
  <c r="AZ189" i="37"/>
  <c r="DD188" i="37"/>
  <c r="DC188" i="37"/>
  <c r="DB188" i="37"/>
  <c r="DA188" i="37"/>
  <c r="CZ188" i="37"/>
  <c r="CY188" i="37"/>
  <c r="CX188" i="37"/>
  <c r="CW188" i="37"/>
  <c r="CV188" i="37"/>
  <c r="CU188" i="37"/>
  <c r="CT188" i="37"/>
  <c r="CS188" i="37"/>
  <c r="CR188" i="37"/>
  <c r="CQ188" i="37"/>
  <c r="CP188" i="37"/>
  <c r="CO188" i="37"/>
  <c r="CN188" i="37"/>
  <c r="CM188" i="37"/>
  <c r="CL188" i="37"/>
  <c r="CK188" i="37"/>
  <c r="CJ188" i="37"/>
  <c r="CI188" i="37"/>
  <c r="CH188" i="37"/>
  <c r="CG188" i="37"/>
  <c r="CF188" i="37"/>
  <c r="CE188" i="37"/>
  <c r="CD188" i="37"/>
  <c r="CC188" i="37"/>
  <c r="CB188" i="37"/>
  <c r="CA188" i="37"/>
  <c r="BZ188" i="37"/>
  <c r="BY188" i="37"/>
  <c r="BX188" i="37"/>
  <c r="BW188" i="37"/>
  <c r="BV188" i="37"/>
  <c r="BU188" i="37"/>
  <c r="BT188" i="37"/>
  <c r="BS188" i="37"/>
  <c r="BR188" i="37"/>
  <c r="BO188" i="37"/>
  <c r="BP188" i="37" s="1"/>
  <c r="BI188" i="37"/>
  <c r="BF188" i="37"/>
  <c r="BG188" i="37" s="1"/>
  <c r="AZ188" i="37"/>
  <c r="DD184" i="37"/>
  <c r="DC184" i="37"/>
  <c r="DB184" i="37"/>
  <c r="DA184" i="37"/>
  <c r="CZ184" i="37"/>
  <c r="CY184" i="37"/>
  <c r="CX184" i="37"/>
  <c r="CW184" i="37"/>
  <c r="CV184" i="37"/>
  <c r="CU184" i="37"/>
  <c r="CT184" i="37"/>
  <c r="CS184" i="37"/>
  <c r="CR184" i="37"/>
  <c r="CQ184" i="37"/>
  <c r="CP184" i="37"/>
  <c r="CO184" i="37"/>
  <c r="CN184" i="37"/>
  <c r="CM184" i="37"/>
  <c r="CL184" i="37"/>
  <c r="CK184" i="37"/>
  <c r="CJ184" i="37"/>
  <c r="CI184" i="37"/>
  <c r="CH184" i="37"/>
  <c r="CG184" i="37"/>
  <c r="CF184" i="37"/>
  <c r="CE184" i="37"/>
  <c r="CD184" i="37"/>
  <c r="CC184" i="37"/>
  <c r="CB184" i="37"/>
  <c r="CA184" i="37"/>
  <c r="BZ184" i="37"/>
  <c r="BY184" i="37"/>
  <c r="BX184" i="37"/>
  <c r="BV184" i="37"/>
  <c r="BT184" i="37"/>
  <c r="BS184" i="37"/>
  <c r="BR184" i="37"/>
  <c r="BO184" i="37"/>
  <c r="BP184" i="37" s="1"/>
  <c r="BI184" i="37"/>
  <c r="BF184" i="37"/>
  <c r="BG184" i="37" s="1"/>
  <c r="AZ184" i="37"/>
  <c r="DD183" i="37"/>
  <c r="DC183" i="37"/>
  <c r="DB183" i="37"/>
  <c r="DA183" i="37"/>
  <c r="CZ183" i="37"/>
  <c r="CY183" i="37"/>
  <c r="CX183" i="37"/>
  <c r="CW183" i="37"/>
  <c r="CV183" i="37"/>
  <c r="CU183" i="37"/>
  <c r="CT183" i="37"/>
  <c r="CS183" i="37"/>
  <c r="CR183" i="37"/>
  <c r="CQ183" i="37"/>
  <c r="CP183" i="37"/>
  <c r="CO183" i="37"/>
  <c r="CN183" i="37"/>
  <c r="CM183" i="37"/>
  <c r="CL183" i="37"/>
  <c r="CK183" i="37"/>
  <c r="CJ183" i="37"/>
  <c r="CI183" i="37"/>
  <c r="CH183" i="37"/>
  <c r="CG183" i="37"/>
  <c r="CF183" i="37"/>
  <c r="CE183" i="37"/>
  <c r="CD183" i="37"/>
  <c r="CC183" i="37"/>
  <c r="CB183" i="37"/>
  <c r="CA183" i="37"/>
  <c r="BZ183" i="37"/>
  <c r="BY183" i="37"/>
  <c r="BX183" i="37"/>
  <c r="BV183" i="37"/>
  <c r="BT183" i="37"/>
  <c r="BS183" i="37"/>
  <c r="BR183" i="37"/>
  <c r="BO183" i="37"/>
  <c r="BP183" i="37" s="1"/>
  <c r="BI183" i="37"/>
  <c r="BF183" i="37"/>
  <c r="BG183" i="37" s="1"/>
  <c r="AZ183" i="37"/>
  <c r="DD182" i="37"/>
  <c r="DC182" i="37"/>
  <c r="DB182" i="37"/>
  <c r="DA182" i="37"/>
  <c r="CZ182" i="37"/>
  <c r="CY182" i="37"/>
  <c r="CX182" i="37"/>
  <c r="CW182" i="37"/>
  <c r="CV182" i="37"/>
  <c r="CU182" i="37"/>
  <c r="CT182" i="37"/>
  <c r="CS182" i="37"/>
  <c r="CR182" i="37"/>
  <c r="CQ182" i="37"/>
  <c r="CP182" i="37"/>
  <c r="CO182" i="37"/>
  <c r="CN182" i="37"/>
  <c r="CM182" i="37"/>
  <c r="CL182" i="37"/>
  <c r="CK182" i="37"/>
  <c r="CJ182" i="37"/>
  <c r="CI182" i="37"/>
  <c r="CH182" i="37"/>
  <c r="CG182" i="37"/>
  <c r="CF182" i="37"/>
  <c r="CE182" i="37"/>
  <c r="CD182" i="37"/>
  <c r="CC182" i="37"/>
  <c r="CB182" i="37"/>
  <c r="CA182" i="37"/>
  <c r="BZ182" i="37"/>
  <c r="BY182" i="37"/>
  <c r="BX182" i="37"/>
  <c r="BV182" i="37"/>
  <c r="BT182" i="37"/>
  <c r="BS182" i="37"/>
  <c r="BR182" i="37"/>
  <c r="BO182" i="37"/>
  <c r="BP182" i="37" s="1"/>
  <c r="BI182" i="37"/>
  <c r="BF182" i="37"/>
  <c r="BG182" i="37" s="1"/>
  <c r="AZ182" i="37"/>
  <c r="DD181" i="37"/>
  <c r="DC181" i="37"/>
  <c r="DB181" i="37"/>
  <c r="DA181" i="37"/>
  <c r="CZ181" i="37"/>
  <c r="CY181" i="37"/>
  <c r="CX181" i="37"/>
  <c r="CW181" i="37"/>
  <c r="CV181" i="37"/>
  <c r="CU181" i="37"/>
  <c r="CT181" i="37"/>
  <c r="CS181" i="37"/>
  <c r="CR181" i="37"/>
  <c r="CQ181" i="37"/>
  <c r="CP181" i="37"/>
  <c r="CO181" i="37"/>
  <c r="CN181" i="37"/>
  <c r="CM181" i="37"/>
  <c r="CL181" i="37"/>
  <c r="CK181" i="37"/>
  <c r="CJ181" i="37"/>
  <c r="CI181" i="37"/>
  <c r="CH181" i="37"/>
  <c r="CG181" i="37"/>
  <c r="CF181" i="37"/>
  <c r="CE181" i="37"/>
  <c r="CD181" i="37"/>
  <c r="CC181" i="37"/>
  <c r="CB181" i="37"/>
  <c r="CA181" i="37"/>
  <c r="BZ181" i="37"/>
  <c r="BY181" i="37"/>
  <c r="BX181" i="37"/>
  <c r="BV181" i="37"/>
  <c r="BT181" i="37"/>
  <c r="BS181" i="37"/>
  <c r="BR181" i="37"/>
  <c r="BO181" i="37"/>
  <c r="BP181" i="37" s="1"/>
  <c r="BI181" i="37"/>
  <c r="BF181" i="37"/>
  <c r="BG181" i="37" s="1"/>
  <c r="AZ181" i="37"/>
  <c r="DD180" i="37"/>
  <c r="DC180" i="37"/>
  <c r="DB180" i="37"/>
  <c r="DA180" i="37"/>
  <c r="CZ180" i="37"/>
  <c r="CY180" i="37"/>
  <c r="CX180" i="37"/>
  <c r="CW180" i="37"/>
  <c r="CV180" i="37"/>
  <c r="CU180" i="37"/>
  <c r="CT180" i="37"/>
  <c r="CS180" i="37"/>
  <c r="CR180" i="37"/>
  <c r="CQ180" i="37"/>
  <c r="CP180" i="37"/>
  <c r="CO180" i="37"/>
  <c r="CN180" i="37"/>
  <c r="CM180" i="37"/>
  <c r="CL180" i="37"/>
  <c r="CK180" i="37"/>
  <c r="CJ180" i="37"/>
  <c r="CI180" i="37"/>
  <c r="CH180" i="37"/>
  <c r="CG180" i="37"/>
  <c r="CF180" i="37"/>
  <c r="CE180" i="37"/>
  <c r="CD180" i="37"/>
  <c r="CC180" i="37"/>
  <c r="CB180" i="37"/>
  <c r="CA180" i="37"/>
  <c r="BZ180" i="37"/>
  <c r="BY180" i="37"/>
  <c r="BX180" i="37"/>
  <c r="BW180" i="37"/>
  <c r="BV180" i="37"/>
  <c r="BU180" i="37"/>
  <c r="BT180" i="37"/>
  <c r="BS180" i="37"/>
  <c r="BR180" i="37"/>
  <c r="BO180" i="37"/>
  <c r="BP180" i="37" s="1"/>
  <c r="BI180" i="37"/>
  <c r="BF180" i="37"/>
  <c r="BG180" i="37" s="1"/>
  <c r="AZ180" i="37"/>
  <c r="DD179" i="37"/>
  <c r="DC179" i="37"/>
  <c r="DB179" i="37"/>
  <c r="DA179" i="37"/>
  <c r="CZ179" i="37"/>
  <c r="CY179" i="37"/>
  <c r="CX179" i="37"/>
  <c r="CW179" i="37"/>
  <c r="CV179" i="37"/>
  <c r="CU179" i="37"/>
  <c r="CT179" i="37"/>
  <c r="CS179" i="37"/>
  <c r="CR179" i="37"/>
  <c r="CQ179" i="37"/>
  <c r="CP179" i="37"/>
  <c r="CO179" i="37"/>
  <c r="CN179" i="37"/>
  <c r="CM179" i="37"/>
  <c r="CL179" i="37"/>
  <c r="CK179" i="37"/>
  <c r="CJ179" i="37"/>
  <c r="CI179" i="37"/>
  <c r="CH179" i="37"/>
  <c r="CG179" i="37"/>
  <c r="CF179" i="37"/>
  <c r="CE179" i="37"/>
  <c r="CD179" i="37"/>
  <c r="CC179" i="37"/>
  <c r="CB179" i="37"/>
  <c r="CA179" i="37"/>
  <c r="BZ179" i="37"/>
  <c r="BY179" i="37"/>
  <c r="BX179" i="37"/>
  <c r="BW179" i="37"/>
  <c r="BV179" i="37"/>
  <c r="BU179" i="37"/>
  <c r="BT179" i="37"/>
  <c r="BS179" i="37"/>
  <c r="BR179" i="37"/>
  <c r="BO179" i="37"/>
  <c r="BP179" i="37" s="1"/>
  <c r="BI179" i="37"/>
  <c r="BF179" i="37"/>
  <c r="BG179" i="37" s="1"/>
  <c r="AZ179" i="37"/>
  <c r="DD178" i="37"/>
  <c r="DC178" i="37"/>
  <c r="DB178" i="37"/>
  <c r="DA178" i="37"/>
  <c r="CZ178" i="37"/>
  <c r="CY178" i="37"/>
  <c r="CX178" i="37"/>
  <c r="CW178" i="37"/>
  <c r="CV178" i="37"/>
  <c r="CU178" i="37"/>
  <c r="CT178" i="37"/>
  <c r="CS178" i="37"/>
  <c r="CR178" i="37"/>
  <c r="CQ178" i="37"/>
  <c r="CP178" i="37"/>
  <c r="CO178" i="37"/>
  <c r="CN178" i="37"/>
  <c r="CM178" i="37"/>
  <c r="CL178" i="37"/>
  <c r="CK178" i="37"/>
  <c r="CJ178" i="37"/>
  <c r="CI178" i="37"/>
  <c r="CH178" i="37"/>
  <c r="CG178" i="37"/>
  <c r="CF178" i="37"/>
  <c r="CE178" i="37"/>
  <c r="CD178" i="37"/>
  <c r="CC178" i="37"/>
  <c r="CB178" i="37"/>
  <c r="CA178" i="37"/>
  <c r="BZ178" i="37"/>
  <c r="BY178" i="37"/>
  <c r="BX178" i="37"/>
  <c r="BW178" i="37"/>
  <c r="BV178" i="37"/>
  <c r="BU178" i="37"/>
  <c r="BT178" i="37"/>
  <c r="BS178" i="37"/>
  <c r="BR178" i="37"/>
  <c r="BO178" i="37"/>
  <c r="BP178" i="37" s="1"/>
  <c r="BI178" i="37"/>
  <c r="BF178" i="37"/>
  <c r="BG178" i="37" s="1"/>
  <c r="AZ178" i="37"/>
  <c r="DD177" i="37"/>
  <c r="DC177" i="37"/>
  <c r="DB177" i="37"/>
  <c r="DA177" i="37"/>
  <c r="CZ177" i="37"/>
  <c r="CY177" i="37"/>
  <c r="CX177" i="37"/>
  <c r="CW177" i="37"/>
  <c r="CV177" i="37"/>
  <c r="CU177" i="37"/>
  <c r="CT177" i="37"/>
  <c r="CS177" i="37"/>
  <c r="CR177" i="37"/>
  <c r="CQ177" i="37"/>
  <c r="CP177" i="37"/>
  <c r="CO177" i="37"/>
  <c r="CN177" i="37"/>
  <c r="CM177" i="37"/>
  <c r="CL177" i="37"/>
  <c r="CK177" i="37"/>
  <c r="CJ177" i="37"/>
  <c r="CI177" i="37"/>
  <c r="CH177" i="37"/>
  <c r="CG177" i="37"/>
  <c r="CF177" i="37"/>
  <c r="CE177" i="37"/>
  <c r="CD177" i="37"/>
  <c r="CC177" i="37"/>
  <c r="CB177" i="37"/>
  <c r="CA177" i="37"/>
  <c r="BZ177" i="37"/>
  <c r="BY177" i="37"/>
  <c r="BX177" i="37"/>
  <c r="BW177" i="37"/>
  <c r="BV177" i="37"/>
  <c r="BU177" i="37"/>
  <c r="BT177" i="37"/>
  <c r="BS177" i="37"/>
  <c r="BR177" i="37"/>
  <c r="BO177" i="37"/>
  <c r="BP177" i="37" s="1"/>
  <c r="BI177" i="37"/>
  <c r="BF177" i="37"/>
  <c r="BG177" i="37" s="1"/>
  <c r="AZ177" i="37"/>
  <c r="DD218" i="37" l="1"/>
  <c r="DC218" i="37"/>
  <c r="DB218" i="37"/>
  <c r="DA218" i="37"/>
  <c r="CZ218" i="37"/>
  <c r="CY218" i="37"/>
  <c r="CX218" i="37"/>
  <c r="CW218" i="37"/>
  <c r="CV218" i="37"/>
  <c r="CU218" i="37"/>
  <c r="CT218" i="37"/>
  <c r="CS218" i="37"/>
  <c r="CR218" i="37"/>
  <c r="CQ218" i="37"/>
  <c r="CP218" i="37"/>
  <c r="CO218" i="37"/>
  <c r="CN218" i="37"/>
  <c r="CM218" i="37"/>
  <c r="CL218" i="37"/>
  <c r="CK218" i="37"/>
  <c r="CJ218" i="37"/>
  <c r="CI218" i="37"/>
  <c r="CH218" i="37"/>
  <c r="CG218" i="37"/>
  <c r="CF218" i="37"/>
  <c r="CE218" i="37"/>
  <c r="CD218" i="37"/>
  <c r="CC218" i="37"/>
  <c r="CB218" i="37"/>
  <c r="CA218" i="37"/>
  <c r="BZ218" i="37"/>
  <c r="BY218" i="37"/>
  <c r="BX218" i="37"/>
  <c r="BV218" i="37"/>
  <c r="BT218" i="37"/>
  <c r="BS218" i="37"/>
  <c r="BR218" i="37"/>
  <c r="BO218" i="37"/>
  <c r="BP218" i="37" s="1"/>
  <c r="BI218" i="37"/>
  <c r="BF218" i="37"/>
  <c r="BG218" i="37" s="1"/>
  <c r="AZ218" i="37"/>
  <c r="DD217" i="37"/>
  <c r="DC217" i="37"/>
  <c r="DB217" i="37"/>
  <c r="DA217" i="37"/>
  <c r="CZ217" i="37"/>
  <c r="CY217" i="37"/>
  <c r="CX217" i="37"/>
  <c r="CW217" i="37"/>
  <c r="CV217" i="37"/>
  <c r="CU217" i="37"/>
  <c r="CT217" i="37"/>
  <c r="CS217" i="37"/>
  <c r="CR217" i="37"/>
  <c r="CQ217" i="37"/>
  <c r="CP217" i="37"/>
  <c r="CO217" i="37"/>
  <c r="CN217" i="37"/>
  <c r="CM217" i="37"/>
  <c r="CL217" i="37"/>
  <c r="CK217" i="37"/>
  <c r="CJ217" i="37"/>
  <c r="CI217" i="37"/>
  <c r="CH217" i="37"/>
  <c r="CG217" i="37"/>
  <c r="CF217" i="37"/>
  <c r="CE217" i="37"/>
  <c r="CD217" i="37"/>
  <c r="CC217" i="37"/>
  <c r="CB217" i="37"/>
  <c r="CA217" i="37"/>
  <c r="BZ217" i="37"/>
  <c r="BY217" i="37"/>
  <c r="BX217" i="37"/>
  <c r="BV217" i="37"/>
  <c r="BT217" i="37"/>
  <c r="BS217" i="37"/>
  <c r="BR217" i="37"/>
  <c r="BO217" i="37"/>
  <c r="BP217" i="37" s="1"/>
  <c r="BI217" i="37"/>
  <c r="BF217" i="37"/>
  <c r="BG217" i="37" s="1"/>
  <c r="AZ217" i="37"/>
  <c r="DD216" i="37"/>
  <c r="DC216" i="37"/>
  <c r="DB216" i="37"/>
  <c r="DA216" i="37"/>
  <c r="CZ216" i="37"/>
  <c r="CY216" i="37"/>
  <c r="CX216" i="37"/>
  <c r="CW216" i="37"/>
  <c r="CV216" i="37"/>
  <c r="CU216" i="37"/>
  <c r="CT216" i="37"/>
  <c r="CS216" i="37"/>
  <c r="CR216" i="37"/>
  <c r="CQ216" i="37"/>
  <c r="CP216" i="37"/>
  <c r="CO216" i="37"/>
  <c r="CN216" i="37"/>
  <c r="CM216" i="37"/>
  <c r="CL216" i="37"/>
  <c r="CK216" i="37"/>
  <c r="CJ216" i="37"/>
  <c r="CI216" i="37"/>
  <c r="CH216" i="37"/>
  <c r="CG216" i="37"/>
  <c r="CF216" i="37"/>
  <c r="CE216" i="37"/>
  <c r="CD216" i="37"/>
  <c r="CC216" i="37"/>
  <c r="CB216" i="37"/>
  <c r="CA216" i="37"/>
  <c r="BZ216" i="37"/>
  <c r="BY216" i="37"/>
  <c r="BX216" i="37"/>
  <c r="BV216" i="37"/>
  <c r="BT216" i="37"/>
  <c r="BS216" i="37"/>
  <c r="BR216" i="37"/>
  <c r="BO216" i="37"/>
  <c r="BP216" i="37" s="1"/>
  <c r="BI216" i="37"/>
  <c r="BF216" i="37"/>
  <c r="BG216" i="37" s="1"/>
  <c r="AZ216" i="37"/>
  <c r="DD215" i="37"/>
  <c r="DC215" i="37"/>
  <c r="DB215" i="37"/>
  <c r="DA215" i="37"/>
  <c r="CZ215" i="37"/>
  <c r="CY215" i="37"/>
  <c r="CX215" i="37"/>
  <c r="CW215" i="37"/>
  <c r="CV215" i="37"/>
  <c r="CU215" i="37"/>
  <c r="CT215" i="37"/>
  <c r="CS215" i="37"/>
  <c r="CR215" i="37"/>
  <c r="CQ215" i="37"/>
  <c r="CP215" i="37"/>
  <c r="CO215" i="37"/>
  <c r="CN215" i="37"/>
  <c r="CM215" i="37"/>
  <c r="CL215" i="37"/>
  <c r="CK215" i="37"/>
  <c r="CJ215" i="37"/>
  <c r="CI215" i="37"/>
  <c r="CH215" i="37"/>
  <c r="CG215" i="37"/>
  <c r="CF215" i="37"/>
  <c r="CE215" i="37"/>
  <c r="CD215" i="37"/>
  <c r="CC215" i="37"/>
  <c r="CB215" i="37"/>
  <c r="CA215" i="37"/>
  <c r="BZ215" i="37"/>
  <c r="BY215" i="37"/>
  <c r="BX215" i="37"/>
  <c r="BV215" i="37"/>
  <c r="BT215" i="37"/>
  <c r="BS215" i="37"/>
  <c r="BR215" i="37"/>
  <c r="BO215" i="37"/>
  <c r="BP215" i="37" s="1"/>
  <c r="BI215" i="37"/>
  <c r="BF215" i="37"/>
  <c r="BG215" i="37" s="1"/>
  <c r="AZ215" i="37"/>
  <c r="DD214" i="37"/>
  <c r="DC214" i="37"/>
  <c r="DB214" i="37"/>
  <c r="DA214" i="37"/>
  <c r="CZ214" i="37"/>
  <c r="CY214" i="37"/>
  <c r="CX214" i="37"/>
  <c r="CW214" i="37"/>
  <c r="CV214" i="37"/>
  <c r="CU214" i="37"/>
  <c r="CT214" i="37"/>
  <c r="CS214" i="37"/>
  <c r="CR214" i="37"/>
  <c r="CQ214" i="37"/>
  <c r="CP214" i="37"/>
  <c r="CO214" i="37"/>
  <c r="CN214" i="37"/>
  <c r="CM214" i="37"/>
  <c r="CL214" i="37"/>
  <c r="CK214" i="37"/>
  <c r="CJ214" i="37"/>
  <c r="CI214" i="37"/>
  <c r="CH214" i="37"/>
  <c r="CG214" i="37"/>
  <c r="CF214" i="37"/>
  <c r="CE214" i="37"/>
  <c r="CD214" i="37"/>
  <c r="CC214" i="37"/>
  <c r="CB214" i="37"/>
  <c r="CA214" i="37"/>
  <c r="BZ214" i="37"/>
  <c r="BY214" i="37"/>
  <c r="BX214" i="37"/>
  <c r="BW214" i="37"/>
  <c r="BV214" i="37"/>
  <c r="BU214" i="37"/>
  <c r="BT214" i="37"/>
  <c r="BS214" i="37"/>
  <c r="BR214" i="37"/>
  <c r="BO214" i="37"/>
  <c r="BP214" i="37" s="1"/>
  <c r="BI214" i="37"/>
  <c r="BF214" i="37"/>
  <c r="BG214" i="37" s="1"/>
  <c r="AZ214" i="37"/>
  <c r="DD213" i="37"/>
  <c r="DC213" i="37"/>
  <c r="DB213" i="37"/>
  <c r="DA213" i="37"/>
  <c r="CZ213" i="37"/>
  <c r="CY213" i="37"/>
  <c r="CX213" i="37"/>
  <c r="CW213" i="37"/>
  <c r="CV213" i="37"/>
  <c r="CU213" i="37"/>
  <c r="CT213" i="37"/>
  <c r="CS213" i="37"/>
  <c r="CR213" i="37"/>
  <c r="CQ213" i="37"/>
  <c r="CP213" i="37"/>
  <c r="CO213" i="37"/>
  <c r="CN213" i="37"/>
  <c r="CM213" i="37"/>
  <c r="CL213" i="37"/>
  <c r="CK213" i="37"/>
  <c r="CJ213" i="37"/>
  <c r="CI213" i="37"/>
  <c r="CH213" i="37"/>
  <c r="CG213" i="37"/>
  <c r="CF213" i="37"/>
  <c r="CE213" i="37"/>
  <c r="CD213" i="37"/>
  <c r="CC213" i="37"/>
  <c r="CB213" i="37"/>
  <c r="CA213" i="37"/>
  <c r="BZ213" i="37"/>
  <c r="BY213" i="37"/>
  <c r="BX213" i="37"/>
  <c r="BW213" i="37"/>
  <c r="BV213" i="37"/>
  <c r="BU213" i="37"/>
  <c r="BT213" i="37"/>
  <c r="BS213" i="37"/>
  <c r="BR213" i="37"/>
  <c r="BO213" i="37"/>
  <c r="BP213" i="37" s="1"/>
  <c r="BI213" i="37"/>
  <c r="BF213" i="37"/>
  <c r="BG213" i="37" s="1"/>
  <c r="AZ213" i="37"/>
  <c r="DD212" i="37"/>
  <c r="DC212" i="37"/>
  <c r="DB212" i="37"/>
  <c r="DA212" i="37"/>
  <c r="CZ212" i="37"/>
  <c r="CY212" i="37"/>
  <c r="CX212" i="37"/>
  <c r="CW212" i="37"/>
  <c r="CV212" i="37"/>
  <c r="CU212" i="37"/>
  <c r="CT212" i="37"/>
  <c r="CS212" i="37"/>
  <c r="CR212" i="37"/>
  <c r="CQ212" i="37"/>
  <c r="CP212" i="37"/>
  <c r="CO212" i="37"/>
  <c r="CN212" i="37"/>
  <c r="CM212" i="37"/>
  <c r="CL212" i="37"/>
  <c r="CK212" i="37"/>
  <c r="CJ212" i="37"/>
  <c r="CI212" i="37"/>
  <c r="CH212" i="37"/>
  <c r="CG212" i="37"/>
  <c r="CF212" i="37"/>
  <c r="CE212" i="37"/>
  <c r="CD212" i="37"/>
  <c r="CC212" i="37"/>
  <c r="CB212" i="37"/>
  <c r="CA212" i="37"/>
  <c r="BZ212" i="37"/>
  <c r="BY212" i="37"/>
  <c r="BX212" i="37"/>
  <c r="BW212" i="37"/>
  <c r="BV212" i="37"/>
  <c r="BU212" i="37"/>
  <c r="BT212" i="37"/>
  <c r="BS212" i="37"/>
  <c r="BR212" i="37"/>
  <c r="BO212" i="37"/>
  <c r="BP212" i="37" s="1"/>
  <c r="BI212" i="37"/>
  <c r="BF212" i="37"/>
  <c r="BG212" i="37" s="1"/>
  <c r="AZ212" i="37"/>
  <c r="DD211" i="37"/>
  <c r="DC211" i="37"/>
  <c r="DB211" i="37"/>
  <c r="DA211" i="37"/>
  <c r="CZ211" i="37"/>
  <c r="CY211" i="37"/>
  <c r="CX211" i="37"/>
  <c r="CW211" i="37"/>
  <c r="CV211" i="37"/>
  <c r="CU211" i="37"/>
  <c r="CT211" i="37"/>
  <c r="CS211" i="37"/>
  <c r="CR211" i="37"/>
  <c r="CQ211" i="37"/>
  <c r="CP211" i="37"/>
  <c r="CO211" i="37"/>
  <c r="CN211" i="37"/>
  <c r="CM211" i="37"/>
  <c r="CL211" i="37"/>
  <c r="CK211" i="37"/>
  <c r="CJ211" i="37"/>
  <c r="CI211" i="37"/>
  <c r="CH211" i="37"/>
  <c r="CG211" i="37"/>
  <c r="CF211" i="37"/>
  <c r="CE211" i="37"/>
  <c r="CD211" i="37"/>
  <c r="CC211" i="37"/>
  <c r="CB211" i="37"/>
  <c r="CA211" i="37"/>
  <c r="BZ211" i="37"/>
  <c r="BY211" i="37"/>
  <c r="BX211" i="37"/>
  <c r="BW211" i="37"/>
  <c r="BV211" i="37"/>
  <c r="BU211" i="37"/>
  <c r="BT211" i="37"/>
  <c r="BS211" i="37"/>
  <c r="BR211" i="37"/>
  <c r="BO211" i="37"/>
  <c r="BP211" i="37" s="1"/>
  <c r="BI211" i="37"/>
  <c r="BF211" i="37"/>
  <c r="BG211" i="37" s="1"/>
  <c r="AZ211" i="37"/>
  <c r="DD207" i="37"/>
  <c r="DC207" i="37"/>
  <c r="DB207" i="37"/>
  <c r="DA207" i="37"/>
  <c r="CZ207" i="37"/>
  <c r="CY207" i="37"/>
  <c r="CX207" i="37"/>
  <c r="CW207" i="37"/>
  <c r="CV207" i="37"/>
  <c r="CU207" i="37"/>
  <c r="CT207" i="37"/>
  <c r="CS207" i="37"/>
  <c r="CR207" i="37"/>
  <c r="CQ207" i="37"/>
  <c r="CP207" i="37"/>
  <c r="CO207" i="37"/>
  <c r="CN207" i="37"/>
  <c r="CM207" i="37"/>
  <c r="CL207" i="37"/>
  <c r="CK207" i="37"/>
  <c r="CJ207" i="37"/>
  <c r="CI207" i="37"/>
  <c r="CH207" i="37"/>
  <c r="CG207" i="37"/>
  <c r="CF207" i="37"/>
  <c r="CE207" i="37"/>
  <c r="CD207" i="37"/>
  <c r="CC207" i="37"/>
  <c r="CB207" i="37"/>
  <c r="CA207" i="37"/>
  <c r="BZ207" i="37"/>
  <c r="BY207" i="37"/>
  <c r="BX207" i="37"/>
  <c r="BV207" i="37"/>
  <c r="BT207" i="37"/>
  <c r="BS207" i="37"/>
  <c r="BR207" i="37"/>
  <c r="BO207" i="37"/>
  <c r="BP207" i="37" s="1"/>
  <c r="BI207" i="37"/>
  <c r="BF207" i="37"/>
  <c r="BG207" i="37" s="1"/>
  <c r="AZ207" i="37"/>
  <c r="DD206" i="37"/>
  <c r="DC206" i="37"/>
  <c r="DB206" i="37"/>
  <c r="DA206" i="37"/>
  <c r="CZ206" i="37"/>
  <c r="CY206" i="37"/>
  <c r="CX206" i="37"/>
  <c r="CW206" i="37"/>
  <c r="CV206" i="37"/>
  <c r="CU206" i="37"/>
  <c r="CT206" i="37"/>
  <c r="CS206" i="37"/>
  <c r="CR206" i="37"/>
  <c r="CQ206" i="37"/>
  <c r="CP206" i="37"/>
  <c r="CO206" i="37"/>
  <c r="CN206" i="37"/>
  <c r="CM206" i="37"/>
  <c r="CL206" i="37"/>
  <c r="CK206" i="37"/>
  <c r="CJ206" i="37"/>
  <c r="CI206" i="37"/>
  <c r="CH206" i="37"/>
  <c r="CG206" i="37"/>
  <c r="CF206" i="37"/>
  <c r="CE206" i="37"/>
  <c r="CD206" i="37"/>
  <c r="CC206" i="37"/>
  <c r="CB206" i="37"/>
  <c r="CA206" i="37"/>
  <c r="BZ206" i="37"/>
  <c r="BY206" i="37"/>
  <c r="BX206" i="37"/>
  <c r="BV206" i="37"/>
  <c r="BT206" i="37"/>
  <c r="BS206" i="37"/>
  <c r="BR206" i="37"/>
  <c r="BO206" i="37"/>
  <c r="BP206" i="37" s="1"/>
  <c r="BI206" i="37"/>
  <c r="BF206" i="37"/>
  <c r="BG206" i="37" s="1"/>
  <c r="AZ206" i="37"/>
  <c r="DD205" i="37"/>
  <c r="DC205" i="37"/>
  <c r="DB205" i="37"/>
  <c r="DA205" i="37"/>
  <c r="CZ205" i="37"/>
  <c r="CY205" i="37"/>
  <c r="CX205" i="37"/>
  <c r="CW205" i="37"/>
  <c r="CV205" i="37"/>
  <c r="CU205" i="37"/>
  <c r="CT205" i="37"/>
  <c r="CS205" i="37"/>
  <c r="CR205" i="37"/>
  <c r="CQ205" i="37"/>
  <c r="CP205" i="37"/>
  <c r="CO205" i="37"/>
  <c r="CN205" i="37"/>
  <c r="CM205" i="37"/>
  <c r="CL205" i="37"/>
  <c r="CK205" i="37"/>
  <c r="CJ205" i="37"/>
  <c r="CI205" i="37"/>
  <c r="CH205" i="37"/>
  <c r="CG205" i="37"/>
  <c r="CF205" i="37"/>
  <c r="CE205" i="37"/>
  <c r="CD205" i="37"/>
  <c r="CC205" i="37"/>
  <c r="CB205" i="37"/>
  <c r="CA205" i="37"/>
  <c r="BZ205" i="37"/>
  <c r="BY205" i="37"/>
  <c r="BX205" i="37"/>
  <c r="BV205" i="37"/>
  <c r="BT205" i="37"/>
  <c r="BS205" i="37"/>
  <c r="BR205" i="37"/>
  <c r="BO205" i="37"/>
  <c r="BP205" i="37" s="1"/>
  <c r="BI205" i="37"/>
  <c r="BF205" i="37"/>
  <c r="BG205" i="37" s="1"/>
  <c r="AZ205" i="37"/>
  <c r="DD204" i="37"/>
  <c r="DC204" i="37"/>
  <c r="DB204" i="37"/>
  <c r="DA204" i="37"/>
  <c r="CZ204" i="37"/>
  <c r="CY204" i="37"/>
  <c r="CX204" i="37"/>
  <c r="CW204" i="37"/>
  <c r="CV204" i="37"/>
  <c r="CU204" i="37"/>
  <c r="CT204" i="37"/>
  <c r="CS204" i="37"/>
  <c r="CR204" i="37"/>
  <c r="CQ204" i="37"/>
  <c r="CP204" i="37"/>
  <c r="CO204" i="37"/>
  <c r="CN204" i="37"/>
  <c r="CM204" i="37"/>
  <c r="CL204" i="37"/>
  <c r="CK204" i="37"/>
  <c r="CJ204" i="37"/>
  <c r="CI204" i="37"/>
  <c r="CH204" i="37"/>
  <c r="CG204" i="37"/>
  <c r="CF204" i="37"/>
  <c r="CE204" i="37"/>
  <c r="CD204" i="37"/>
  <c r="CC204" i="37"/>
  <c r="CB204" i="37"/>
  <c r="CA204" i="37"/>
  <c r="BZ204" i="37"/>
  <c r="BY204" i="37"/>
  <c r="BX204" i="37"/>
  <c r="BV204" i="37"/>
  <c r="BT204" i="37"/>
  <c r="BS204" i="37"/>
  <c r="BR204" i="37"/>
  <c r="BO204" i="37"/>
  <c r="BP204" i="37" s="1"/>
  <c r="BI204" i="37"/>
  <c r="BF204" i="37"/>
  <c r="BG204" i="37" s="1"/>
  <c r="AZ204" i="37"/>
  <c r="DD203" i="37"/>
  <c r="DC203" i="37"/>
  <c r="DB203" i="37"/>
  <c r="DA203" i="37"/>
  <c r="CZ203" i="37"/>
  <c r="CY203" i="37"/>
  <c r="CX203" i="37"/>
  <c r="CW203" i="37"/>
  <c r="CV203" i="37"/>
  <c r="CU203" i="37"/>
  <c r="CT203" i="37"/>
  <c r="CS203" i="37"/>
  <c r="CR203" i="37"/>
  <c r="CQ203" i="37"/>
  <c r="CP203" i="37"/>
  <c r="CO203" i="37"/>
  <c r="CN203" i="37"/>
  <c r="CM203" i="37"/>
  <c r="CL203" i="37"/>
  <c r="CK203" i="37"/>
  <c r="CJ203" i="37"/>
  <c r="CI203" i="37"/>
  <c r="CH203" i="37"/>
  <c r="CG203" i="37"/>
  <c r="CF203" i="37"/>
  <c r="CE203" i="37"/>
  <c r="CD203" i="37"/>
  <c r="CC203" i="37"/>
  <c r="CB203" i="37"/>
  <c r="CA203" i="37"/>
  <c r="BZ203" i="37"/>
  <c r="BY203" i="37"/>
  <c r="BX203" i="37"/>
  <c r="BW203" i="37"/>
  <c r="BV203" i="37"/>
  <c r="BU203" i="37"/>
  <c r="BT203" i="37"/>
  <c r="BS203" i="37"/>
  <c r="BR203" i="37"/>
  <c r="BO203" i="37"/>
  <c r="BP203" i="37" s="1"/>
  <c r="BI203" i="37"/>
  <c r="BF203" i="37"/>
  <c r="BG203" i="37" s="1"/>
  <c r="AZ203" i="37"/>
  <c r="DD202" i="37"/>
  <c r="DC202" i="37"/>
  <c r="DB202" i="37"/>
  <c r="DA202" i="37"/>
  <c r="CZ202" i="37"/>
  <c r="CY202" i="37"/>
  <c r="CX202" i="37"/>
  <c r="CW202" i="37"/>
  <c r="CV202" i="37"/>
  <c r="CU202" i="37"/>
  <c r="CT202" i="37"/>
  <c r="CS202" i="37"/>
  <c r="CR202" i="37"/>
  <c r="CQ202" i="37"/>
  <c r="CP202" i="37"/>
  <c r="CO202" i="37"/>
  <c r="CN202" i="37"/>
  <c r="CM202" i="37"/>
  <c r="CL202" i="37"/>
  <c r="CK202" i="37"/>
  <c r="CJ202" i="37"/>
  <c r="CI202" i="37"/>
  <c r="CH202" i="37"/>
  <c r="CG202" i="37"/>
  <c r="CF202" i="37"/>
  <c r="CE202" i="37"/>
  <c r="CD202" i="37"/>
  <c r="CC202" i="37"/>
  <c r="CB202" i="37"/>
  <c r="CA202" i="37"/>
  <c r="BZ202" i="37"/>
  <c r="BY202" i="37"/>
  <c r="BX202" i="37"/>
  <c r="BW202" i="37"/>
  <c r="BV202" i="37"/>
  <c r="BU202" i="37"/>
  <c r="BT202" i="37"/>
  <c r="BS202" i="37"/>
  <c r="BR202" i="37"/>
  <c r="BO202" i="37"/>
  <c r="BP202" i="37" s="1"/>
  <c r="BI202" i="37"/>
  <c r="BF202" i="37"/>
  <c r="BG202" i="37" s="1"/>
  <c r="AZ202" i="37"/>
  <c r="DD201" i="37"/>
  <c r="DC201" i="37"/>
  <c r="DB201" i="37"/>
  <c r="DA201" i="37"/>
  <c r="CZ201" i="37"/>
  <c r="CY201" i="37"/>
  <c r="CX201" i="37"/>
  <c r="CW201" i="37"/>
  <c r="CV201" i="37"/>
  <c r="CU201" i="37"/>
  <c r="CT201" i="37"/>
  <c r="CS201" i="37"/>
  <c r="CR201" i="37"/>
  <c r="CQ201" i="37"/>
  <c r="CP201" i="37"/>
  <c r="CO201" i="37"/>
  <c r="CN201" i="37"/>
  <c r="CM201" i="37"/>
  <c r="CL201" i="37"/>
  <c r="CK201" i="37"/>
  <c r="CJ201" i="37"/>
  <c r="CI201" i="37"/>
  <c r="CH201" i="37"/>
  <c r="CG201" i="37"/>
  <c r="CF201" i="37"/>
  <c r="CE201" i="37"/>
  <c r="CD201" i="37"/>
  <c r="CC201" i="37"/>
  <c r="CB201" i="37"/>
  <c r="CA201" i="37"/>
  <c r="BZ201" i="37"/>
  <c r="BY201" i="37"/>
  <c r="BX201" i="37"/>
  <c r="BW201" i="37"/>
  <c r="BV201" i="37"/>
  <c r="BU201" i="37"/>
  <c r="BT201" i="37"/>
  <c r="BS201" i="37"/>
  <c r="BR201" i="37"/>
  <c r="BO201" i="37"/>
  <c r="BP201" i="37" s="1"/>
  <c r="BI201" i="37"/>
  <c r="BF201" i="37"/>
  <c r="BG201" i="37" s="1"/>
  <c r="AZ201" i="37"/>
  <c r="DD200" i="37"/>
  <c r="DC200" i="37"/>
  <c r="DB200" i="37"/>
  <c r="DA200" i="37"/>
  <c r="CZ200" i="37"/>
  <c r="CY200" i="37"/>
  <c r="CX200" i="37"/>
  <c r="CW200" i="37"/>
  <c r="CV200" i="37"/>
  <c r="CU200" i="37"/>
  <c r="CT200" i="37"/>
  <c r="CS200" i="37"/>
  <c r="CR200" i="37"/>
  <c r="CQ200" i="37"/>
  <c r="CP200" i="37"/>
  <c r="CO200" i="37"/>
  <c r="CN200" i="37"/>
  <c r="CM200" i="37"/>
  <c r="CL200" i="37"/>
  <c r="CK200" i="37"/>
  <c r="CJ200" i="37"/>
  <c r="CI200" i="37"/>
  <c r="CH200" i="37"/>
  <c r="CG200" i="37"/>
  <c r="CF200" i="37"/>
  <c r="CE200" i="37"/>
  <c r="CD200" i="37"/>
  <c r="CC200" i="37"/>
  <c r="CB200" i="37"/>
  <c r="CA200" i="37"/>
  <c r="BZ200" i="37"/>
  <c r="BY200" i="37"/>
  <c r="BX200" i="37"/>
  <c r="BW200" i="37"/>
  <c r="BV200" i="37"/>
  <c r="BU200" i="37"/>
  <c r="BT200" i="37"/>
  <c r="BS200" i="37"/>
  <c r="BR200" i="37"/>
  <c r="BO200" i="37"/>
  <c r="BP200" i="37" s="1"/>
  <c r="BI200" i="37"/>
  <c r="BF200" i="37"/>
  <c r="BG200" i="37" s="1"/>
  <c r="AZ200" i="37"/>
  <c r="DD172" i="37"/>
  <c r="DC172" i="37"/>
  <c r="DB172" i="37"/>
  <c r="DA172" i="37"/>
  <c r="CZ172" i="37"/>
  <c r="CY172" i="37"/>
  <c r="CX172" i="37"/>
  <c r="CW172" i="37"/>
  <c r="CV172" i="37"/>
  <c r="CU172" i="37"/>
  <c r="CT172" i="37"/>
  <c r="CS172" i="37"/>
  <c r="CR172" i="37"/>
  <c r="CQ172" i="37"/>
  <c r="CP172" i="37"/>
  <c r="CO172" i="37"/>
  <c r="CN172" i="37"/>
  <c r="CM172" i="37"/>
  <c r="CL172" i="37"/>
  <c r="CK172" i="37"/>
  <c r="CJ172" i="37"/>
  <c r="CI172" i="37"/>
  <c r="CH172" i="37"/>
  <c r="CG172" i="37"/>
  <c r="CF172" i="37"/>
  <c r="CE172" i="37"/>
  <c r="CD172" i="37"/>
  <c r="CC172" i="37"/>
  <c r="CB172" i="37"/>
  <c r="CA172" i="37"/>
  <c r="BZ172" i="37"/>
  <c r="BY172" i="37"/>
  <c r="BX172" i="37"/>
  <c r="BV172" i="37"/>
  <c r="BT172" i="37"/>
  <c r="BS172" i="37"/>
  <c r="BO172" i="37"/>
  <c r="BP172" i="37" s="1"/>
  <c r="BI172" i="37"/>
  <c r="BF172" i="37"/>
  <c r="BG172" i="37" s="1"/>
  <c r="AZ172" i="37"/>
  <c r="DD171" i="37"/>
  <c r="DC171" i="37"/>
  <c r="DB171" i="37"/>
  <c r="DA171" i="37"/>
  <c r="CZ171" i="37"/>
  <c r="CY171" i="37"/>
  <c r="CX171" i="37"/>
  <c r="CW171" i="37"/>
  <c r="CV171" i="37"/>
  <c r="CU171" i="37"/>
  <c r="CT171" i="37"/>
  <c r="CS171" i="37"/>
  <c r="CR171" i="37"/>
  <c r="CQ171" i="37"/>
  <c r="CP171" i="37"/>
  <c r="CO171" i="37"/>
  <c r="CN171" i="37"/>
  <c r="CM171" i="37"/>
  <c r="CL171" i="37"/>
  <c r="CK171" i="37"/>
  <c r="CJ171" i="37"/>
  <c r="CI171" i="37"/>
  <c r="CH171" i="37"/>
  <c r="CG171" i="37"/>
  <c r="CF171" i="37"/>
  <c r="CE171" i="37"/>
  <c r="CD171" i="37"/>
  <c r="CC171" i="37"/>
  <c r="CB171" i="37"/>
  <c r="CA171" i="37"/>
  <c r="BZ171" i="37"/>
  <c r="BY171" i="37"/>
  <c r="BX171" i="37"/>
  <c r="BV171" i="37"/>
  <c r="BT171" i="37"/>
  <c r="BS171" i="37"/>
  <c r="BO171" i="37"/>
  <c r="BP171" i="37" s="1"/>
  <c r="BI171" i="37"/>
  <c r="BF171" i="37"/>
  <c r="BG171" i="37" s="1"/>
  <c r="AZ171" i="37"/>
  <c r="DD170" i="37"/>
  <c r="DC170" i="37"/>
  <c r="DB170" i="37"/>
  <c r="DA170" i="37"/>
  <c r="CZ170" i="37"/>
  <c r="CY170" i="37"/>
  <c r="CX170" i="37"/>
  <c r="CW170" i="37"/>
  <c r="CV170" i="37"/>
  <c r="CU170" i="37"/>
  <c r="CT170" i="37"/>
  <c r="CS170" i="37"/>
  <c r="CR170" i="37"/>
  <c r="CQ170" i="37"/>
  <c r="CP170" i="37"/>
  <c r="CO170" i="37"/>
  <c r="CN170" i="37"/>
  <c r="CM170" i="37"/>
  <c r="CL170" i="37"/>
  <c r="CK170" i="37"/>
  <c r="CJ170" i="37"/>
  <c r="CI170" i="37"/>
  <c r="CH170" i="37"/>
  <c r="CG170" i="37"/>
  <c r="CF170" i="37"/>
  <c r="CE170" i="37"/>
  <c r="CD170" i="37"/>
  <c r="CC170" i="37"/>
  <c r="CB170" i="37"/>
  <c r="CA170" i="37"/>
  <c r="BZ170" i="37"/>
  <c r="BY170" i="37"/>
  <c r="BX170" i="37"/>
  <c r="BV170" i="37"/>
  <c r="BT170" i="37"/>
  <c r="BS170" i="37"/>
  <c r="BO170" i="37"/>
  <c r="BP170" i="37" s="1"/>
  <c r="BI170" i="37"/>
  <c r="BF170" i="37"/>
  <c r="BG170" i="37" s="1"/>
  <c r="AZ170" i="37"/>
  <c r="DD169" i="37"/>
  <c r="DC169" i="37"/>
  <c r="DB169" i="37"/>
  <c r="DA169" i="37"/>
  <c r="CZ169" i="37"/>
  <c r="CY169" i="37"/>
  <c r="CX169" i="37"/>
  <c r="CW169" i="37"/>
  <c r="CV169" i="37"/>
  <c r="CU169" i="37"/>
  <c r="CT169" i="37"/>
  <c r="CS169" i="37"/>
  <c r="CR169" i="37"/>
  <c r="CQ169" i="37"/>
  <c r="CP169" i="37"/>
  <c r="CO169" i="37"/>
  <c r="CN169" i="37"/>
  <c r="CM169" i="37"/>
  <c r="CL169" i="37"/>
  <c r="CK169" i="37"/>
  <c r="CJ169" i="37"/>
  <c r="CI169" i="37"/>
  <c r="CH169" i="37"/>
  <c r="CG169" i="37"/>
  <c r="CF169" i="37"/>
  <c r="CE169" i="37"/>
  <c r="CD169" i="37"/>
  <c r="CC169" i="37"/>
  <c r="CB169" i="37"/>
  <c r="CA169" i="37"/>
  <c r="BZ169" i="37"/>
  <c r="BY169" i="37"/>
  <c r="BX169" i="37"/>
  <c r="BV169" i="37"/>
  <c r="BT169" i="37"/>
  <c r="BS169" i="37"/>
  <c r="BO169" i="37"/>
  <c r="BP169" i="37" s="1"/>
  <c r="BI169" i="37"/>
  <c r="BF169" i="37"/>
  <c r="BG169" i="37" s="1"/>
  <c r="AZ169" i="37"/>
  <c r="DD168" i="37"/>
  <c r="DC168" i="37"/>
  <c r="DB168" i="37"/>
  <c r="DA168" i="37"/>
  <c r="CZ168" i="37"/>
  <c r="CY168" i="37"/>
  <c r="CX168" i="37"/>
  <c r="CW168" i="37"/>
  <c r="CV168" i="37"/>
  <c r="CU168" i="37"/>
  <c r="CT168" i="37"/>
  <c r="CS168" i="37"/>
  <c r="CR168" i="37"/>
  <c r="CQ168" i="37"/>
  <c r="CP168" i="37"/>
  <c r="CO168" i="37"/>
  <c r="CN168" i="37"/>
  <c r="CM168" i="37"/>
  <c r="CL168" i="37"/>
  <c r="CK168" i="37"/>
  <c r="CJ168" i="37"/>
  <c r="CI168" i="37"/>
  <c r="CH168" i="37"/>
  <c r="CG168" i="37"/>
  <c r="CF168" i="37"/>
  <c r="CE168" i="37"/>
  <c r="CD168" i="37"/>
  <c r="CC168" i="37"/>
  <c r="CB168" i="37"/>
  <c r="CA168" i="37"/>
  <c r="BZ168" i="37"/>
  <c r="BY168" i="37"/>
  <c r="BX168" i="37"/>
  <c r="BO168" i="37"/>
  <c r="BP168" i="37" s="1"/>
  <c r="BI168" i="37"/>
  <c r="BF168" i="37"/>
  <c r="BG168" i="37" s="1"/>
  <c r="AZ168" i="37"/>
  <c r="DD167" i="37"/>
  <c r="DC167" i="37"/>
  <c r="DB167" i="37"/>
  <c r="DA167" i="37"/>
  <c r="CZ167" i="37"/>
  <c r="CY167" i="37"/>
  <c r="CX167" i="37"/>
  <c r="CW167" i="37"/>
  <c r="CV167" i="37"/>
  <c r="CU167" i="37"/>
  <c r="CT167" i="37"/>
  <c r="CS167" i="37"/>
  <c r="CR167" i="37"/>
  <c r="CQ167" i="37"/>
  <c r="CP167" i="37"/>
  <c r="CO167" i="37"/>
  <c r="CN167" i="37"/>
  <c r="CM167" i="37"/>
  <c r="CL167" i="37"/>
  <c r="CK167" i="37"/>
  <c r="CJ167" i="37"/>
  <c r="CI167" i="37"/>
  <c r="CH167" i="37"/>
  <c r="CG167" i="37"/>
  <c r="CF167" i="37"/>
  <c r="CE167" i="37"/>
  <c r="CD167" i="37"/>
  <c r="CC167" i="37"/>
  <c r="CB167" i="37"/>
  <c r="CA167" i="37"/>
  <c r="BZ167" i="37"/>
  <c r="BY167" i="37"/>
  <c r="BX167" i="37"/>
  <c r="BO167" i="37"/>
  <c r="BP167" i="37" s="1"/>
  <c r="BI167" i="37"/>
  <c r="BF167" i="37"/>
  <c r="BG167" i="37" s="1"/>
  <c r="AZ167" i="37"/>
  <c r="DD166" i="37"/>
  <c r="DC166" i="37"/>
  <c r="DB166" i="37"/>
  <c r="DA166" i="37"/>
  <c r="CZ166" i="37"/>
  <c r="CY166" i="37"/>
  <c r="CX166" i="37"/>
  <c r="CW166" i="37"/>
  <c r="CV166" i="37"/>
  <c r="CU166" i="37"/>
  <c r="CT166" i="37"/>
  <c r="CS166" i="37"/>
  <c r="CR166" i="37"/>
  <c r="CQ166" i="37"/>
  <c r="CP166" i="37"/>
  <c r="CO166" i="37"/>
  <c r="CN166" i="37"/>
  <c r="CM166" i="37"/>
  <c r="CL166" i="37"/>
  <c r="CK166" i="37"/>
  <c r="CJ166" i="37"/>
  <c r="CI166" i="37"/>
  <c r="CH166" i="37"/>
  <c r="CG166" i="37"/>
  <c r="CF166" i="37"/>
  <c r="CE166" i="37"/>
  <c r="CD166" i="37"/>
  <c r="CC166" i="37"/>
  <c r="CB166" i="37"/>
  <c r="CA166" i="37"/>
  <c r="BZ166" i="37"/>
  <c r="BY166" i="37"/>
  <c r="BX166" i="37"/>
  <c r="BO166" i="37"/>
  <c r="BP166" i="37" s="1"/>
  <c r="BI166" i="37"/>
  <c r="BF166" i="37"/>
  <c r="BG166" i="37" s="1"/>
  <c r="AZ166" i="37"/>
  <c r="DD165" i="37"/>
  <c r="DC165" i="37"/>
  <c r="DB165" i="37"/>
  <c r="DA165" i="37"/>
  <c r="CZ165" i="37"/>
  <c r="CY165" i="37"/>
  <c r="CX165" i="37"/>
  <c r="CW165" i="37"/>
  <c r="CV165" i="37"/>
  <c r="CU165" i="37"/>
  <c r="CT165" i="37"/>
  <c r="CS165" i="37"/>
  <c r="CR165" i="37"/>
  <c r="CQ165" i="37"/>
  <c r="CP165" i="37"/>
  <c r="CO165" i="37"/>
  <c r="CN165" i="37"/>
  <c r="CM165" i="37"/>
  <c r="CL165" i="37"/>
  <c r="CK165" i="37"/>
  <c r="CJ165" i="37"/>
  <c r="CI165" i="37"/>
  <c r="CH165" i="37"/>
  <c r="CG165" i="37"/>
  <c r="CF165" i="37"/>
  <c r="CE165" i="37"/>
  <c r="CD165" i="37"/>
  <c r="CC165" i="37"/>
  <c r="CB165" i="37"/>
  <c r="CA165" i="37"/>
  <c r="BZ165" i="37"/>
  <c r="BY165" i="37"/>
  <c r="BX165" i="37"/>
  <c r="BO165" i="37"/>
  <c r="BP165" i="37" s="1"/>
  <c r="BI165" i="37"/>
  <c r="BF165" i="37"/>
  <c r="BG165" i="37" s="1"/>
  <c r="DD161" i="37"/>
  <c r="DC161" i="37"/>
  <c r="DB161" i="37"/>
  <c r="DA161" i="37"/>
  <c r="CZ161" i="37"/>
  <c r="CY161" i="37"/>
  <c r="CX161" i="37"/>
  <c r="CW161" i="37"/>
  <c r="CV161" i="37"/>
  <c r="CU161" i="37"/>
  <c r="CT161" i="37"/>
  <c r="CS161" i="37"/>
  <c r="CR161" i="37"/>
  <c r="CQ161" i="37"/>
  <c r="CP161" i="37"/>
  <c r="CO161" i="37"/>
  <c r="CN161" i="37"/>
  <c r="CM161" i="37"/>
  <c r="CL161" i="37"/>
  <c r="CK161" i="37"/>
  <c r="CJ161" i="37"/>
  <c r="CI161" i="37"/>
  <c r="CH161" i="37"/>
  <c r="CG161" i="37"/>
  <c r="CF161" i="37"/>
  <c r="CE161" i="37"/>
  <c r="CD161" i="37"/>
  <c r="CC161" i="37"/>
  <c r="CB161" i="37"/>
  <c r="CA161" i="37"/>
  <c r="BZ161" i="37"/>
  <c r="BY161" i="37"/>
  <c r="BX161" i="37"/>
  <c r="BV161" i="37"/>
  <c r="BS161" i="37"/>
  <c r="BO161" i="37"/>
  <c r="BP161" i="37" s="1"/>
  <c r="BI161" i="37"/>
  <c r="BF161" i="37"/>
  <c r="BG161" i="37" s="1"/>
  <c r="AZ161" i="37"/>
  <c r="DD160" i="37"/>
  <c r="DC160" i="37"/>
  <c r="DB160" i="37"/>
  <c r="DA160" i="37"/>
  <c r="CZ160" i="37"/>
  <c r="CY160" i="37"/>
  <c r="CX160" i="37"/>
  <c r="CW160" i="37"/>
  <c r="CV160" i="37"/>
  <c r="CU160" i="37"/>
  <c r="CT160" i="37"/>
  <c r="CS160" i="37"/>
  <c r="CR160" i="37"/>
  <c r="CQ160" i="37"/>
  <c r="CP160" i="37"/>
  <c r="CO160" i="37"/>
  <c r="CN160" i="37"/>
  <c r="CM160" i="37"/>
  <c r="CL160" i="37"/>
  <c r="CK160" i="37"/>
  <c r="CJ160" i="37"/>
  <c r="CI160" i="37"/>
  <c r="CH160" i="37"/>
  <c r="CG160" i="37"/>
  <c r="CF160" i="37"/>
  <c r="CE160" i="37"/>
  <c r="CD160" i="37"/>
  <c r="CC160" i="37"/>
  <c r="CB160" i="37"/>
  <c r="CA160" i="37"/>
  <c r="BZ160" i="37"/>
  <c r="BY160" i="37"/>
  <c r="BX160" i="37"/>
  <c r="BV160" i="37"/>
  <c r="BS160" i="37"/>
  <c r="BO160" i="37"/>
  <c r="BP160" i="37" s="1"/>
  <c r="BI160" i="37"/>
  <c r="BF160" i="37"/>
  <c r="BG160" i="37" s="1"/>
  <c r="AZ160" i="37"/>
  <c r="DD159" i="37"/>
  <c r="DC159" i="37"/>
  <c r="DB159" i="37"/>
  <c r="DA159" i="37"/>
  <c r="CZ159" i="37"/>
  <c r="CY159" i="37"/>
  <c r="CX159" i="37"/>
  <c r="CW159" i="37"/>
  <c r="CV159" i="37"/>
  <c r="CU159" i="37"/>
  <c r="CT159" i="37"/>
  <c r="CS159" i="37"/>
  <c r="CR159" i="37"/>
  <c r="CQ159" i="37"/>
  <c r="CP159" i="37"/>
  <c r="CO159" i="37"/>
  <c r="CN159" i="37"/>
  <c r="CM159" i="37"/>
  <c r="CL159" i="37"/>
  <c r="CK159" i="37"/>
  <c r="CJ159" i="37"/>
  <c r="CI159" i="37"/>
  <c r="CH159" i="37"/>
  <c r="CG159" i="37"/>
  <c r="CF159" i="37"/>
  <c r="CE159" i="37"/>
  <c r="CD159" i="37"/>
  <c r="CC159" i="37"/>
  <c r="CB159" i="37"/>
  <c r="CA159" i="37"/>
  <c r="BZ159" i="37"/>
  <c r="BY159" i="37"/>
  <c r="BX159" i="37"/>
  <c r="BV159" i="37"/>
  <c r="BS159" i="37"/>
  <c r="BO159" i="37"/>
  <c r="BP159" i="37" s="1"/>
  <c r="BI159" i="37"/>
  <c r="BF159" i="37"/>
  <c r="BG159" i="37" s="1"/>
  <c r="AZ159" i="37"/>
  <c r="DD158" i="37"/>
  <c r="DC158" i="37"/>
  <c r="DB158" i="37"/>
  <c r="DA158" i="37"/>
  <c r="CZ158" i="37"/>
  <c r="CY158" i="37"/>
  <c r="CX158" i="37"/>
  <c r="CW158" i="37"/>
  <c r="CV158" i="37"/>
  <c r="CU158" i="37"/>
  <c r="CT158" i="37"/>
  <c r="CS158" i="37"/>
  <c r="CR158" i="37"/>
  <c r="CQ158" i="37"/>
  <c r="CP158" i="37"/>
  <c r="CO158" i="37"/>
  <c r="CN158" i="37"/>
  <c r="CM158" i="37"/>
  <c r="CL158" i="37"/>
  <c r="CK158" i="37"/>
  <c r="CJ158" i="37"/>
  <c r="CI158" i="37"/>
  <c r="CH158" i="37"/>
  <c r="CG158" i="37"/>
  <c r="CF158" i="37"/>
  <c r="CE158" i="37"/>
  <c r="CD158" i="37"/>
  <c r="CC158" i="37"/>
  <c r="CB158" i="37"/>
  <c r="CA158" i="37"/>
  <c r="BZ158" i="37"/>
  <c r="BY158" i="37"/>
  <c r="BX158" i="37"/>
  <c r="BV158" i="37"/>
  <c r="BS158" i="37"/>
  <c r="BO158" i="37"/>
  <c r="BP158" i="37" s="1"/>
  <c r="BI158" i="37"/>
  <c r="BF158" i="37"/>
  <c r="BG158" i="37" s="1"/>
  <c r="AZ158" i="37"/>
  <c r="DD157" i="37"/>
  <c r="DC157" i="37"/>
  <c r="DB157" i="37"/>
  <c r="DA157" i="37"/>
  <c r="CZ157" i="37"/>
  <c r="CY157" i="37"/>
  <c r="CX157" i="37"/>
  <c r="CW157" i="37"/>
  <c r="CV157" i="37"/>
  <c r="CU157" i="37"/>
  <c r="CT157" i="37"/>
  <c r="CS157" i="37"/>
  <c r="CR157" i="37"/>
  <c r="CQ157" i="37"/>
  <c r="CP157" i="37"/>
  <c r="CO157" i="37"/>
  <c r="CN157" i="37"/>
  <c r="CM157" i="37"/>
  <c r="CL157" i="37"/>
  <c r="CK157" i="37"/>
  <c r="CJ157" i="37"/>
  <c r="CI157" i="37"/>
  <c r="CH157" i="37"/>
  <c r="CG157" i="37"/>
  <c r="CF157" i="37"/>
  <c r="CE157" i="37"/>
  <c r="CD157" i="37"/>
  <c r="CC157" i="37"/>
  <c r="CB157" i="37"/>
  <c r="CA157" i="37"/>
  <c r="BZ157" i="37"/>
  <c r="BY157" i="37"/>
  <c r="BX157" i="37"/>
  <c r="BO157" i="37"/>
  <c r="BP157" i="37" s="1"/>
  <c r="BI157" i="37"/>
  <c r="BF157" i="37"/>
  <c r="BG157" i="37" s="1"/>
  <c r="AZ157" i="37"/>
  <c r="DD156" i="37"/>
  <c r="DC156" i="37"/>
  <c r="DB156" i="37"/>
  <c r="DA156" i="37"/>
  <c r="CZ156" i="37"/>
  <c r="CY156" i="37"/>
  <c r="CX156" i="37"/>
  <c r="CW156" i="37"/>
  <c r="CV156" i="37"/>
  <c r="CU156" i="37"/>
  <c r="CT156" i="37"/>
  <c r="CS156" i="37"/>
  <c r="CR156" i="37"/>
  <c r="CQ156" i="37"/>
  <c r="CP156" i="37"/>
  <c r="CO156" i="37"/>
  <c r="CN156" i="37"/>
  <c r="CM156" i="37"/>
  <c r="CL156" i="37"/>
  <c r="CK156" i="37"/>
  <c r="CJ156" i="37"/>
  <c r="CI156" i="37"/>
  <c r="CH156" i="37"/>
  <c r="CG156" i="37"/>
  <c r="CF156" i="37"/>
  <c r="CE156" i="37"/>
  <c r="CD156" i="37"/>
  <c r="CC156" i="37"/>
  <c r="CB156" i="37"/>
  <c r="CA156" i="37"/>
  <c r="BZ156" i="37"/>
  <c r="BY156" i="37"/>
  <c r="BX156" i="37"/>
  <c r="BO156" i="37"/>
  <c r="BP156" i="37" s="1"/>
  <c r="BI156" i="37"/>
  <c r="BF156" i="37"/>
  <c r="BG156" i="37" s="1"/>
  <c r="AZ156" i="37"/>
  <c r="DD155" i="37"/>
  <c r="DC155" i="37"/>
  <c r="DB155" i="37"/>
  <c r="DA155" i="37"/>
  <c r="CZ155" i="37"/>
  <c r="CY155" i="37"/>
  <c r="CX155" i="37"/>
  <c r="CW155" i="37"/>
  <c r="CV155" i="37"/>
  <c r="CU155" i="37"/>
  <c r="CT155" i="37"/>
  <c r="CS155" i="37"/>
  <c r="CR155" i="37"/>
  <c r="CQ155" i="37"/>
  <c r="CP155" i="37"/>
  <c r="CO155" i="37"/>
  <c r="CN155" i="37"/>
  <c r="CM155" i="37"/>
  <c r="CL155" i="37"/>
  <c r="CK155" i="37"/>
  <c r="CJ155" i="37"/>
  <c r="CI155" i="37"/>
  <c r="CH155" i="37"/>
  <c r="CG155" i="37"/>
  <c r="CF155" i="37"/>
  <c r="CE155" i="37"/>
  <c r="CD155" i="37"/>
  <c r="CC155" i="37"/>
  <c r="CB155" i="37"/>
  <c r="CA155" i="37"/>
  <c r="BZ155" i="37"/>
  <c r="BY155" i="37"/>
  <c r="BX155" i="37"/>
  <c r="BO155" i="37"/>
  <c r="BP155" i="37" s="1"/>
  <c r="BI155" i="37"/>
  <c r="BF155" i="37"/>
  <c r="BG155" i="37" s="1"/>
  <c r="AZ155" i="37"/>
  <c r="DD154" i="37"/>
  <c r="DC154" i="37"/>
  <c r="DB154" i="37"/>
  <c r="DA154" i="37"/>
  <c r="CZ154" i="37"/>
  <c r="CY154" i="37"/>
  <c r="CX154" i="37"/>
  <c r="CW154" i="37"/>
  <c r="CV154" i="37"/>
  <c r="CU154" i="37"/>
  <c r="CT154" i="37"/>
  <c r="CS154" i="37"/>
  <c r="CR154" i="37"/>
  <c r="CQ154" i="37"/>
  <c r="CP154" i="37"/>
  <c r="CO154" i="37"/>
  <c r="CN154" i="37"/>
  <c r="CM154" i="37"/>
  <c r="CL154" i="37"/>
  <c r="CK154" i="37"/>
  <c r="CJ154" i="37"/>
  <c r="CI154" i="37"/>
  <c r="CH154" i="37"/>
  <c r="CG154" i="37"/>
  <c r="CF154" i="37"/>
  <c r="CE154" i="37"/>
  <c r="CD154" i="37"/>
  <c r="CC154" i="37"/>
  <c r="CB154" i="37"/>
  <c r="CA154" i="37"/>
  <c r="BZ154" i="37"/>
  <c r="BY154" i="37"/>
  <c r="BX154" i="37"/>
  <c r="BO154" i="37"/>
  <c r="BP154" i="37" s="1"/>
  <c r="BI154" i="37"/>
  <c r="BF154" i="37"/>
  <c r="BG154" i="37" s="1"/>
  <c r="AZ154" i="37"/>
  <c r="BF382" i="37" l="1"/>
  <c r="BF413" i="37"/>
  <c r="BF412" i="37"/>
  <c r="BF411" i="37"/>
  <c r="BF410" i="37"/>
  <c r="BF409" i="37"/>
  <c r="BF408" i="37"/>
  <c r="BF407" i="37"/>
  <c r="BF406" i="37"/>
  <c r="BF405" i="37"/>
  <c r="BF404" i="37"/>
  <c r="BF403" i="37"/>
  <c r="BF402" i="37"/>
  <c r="BF401" i="37"/>
  <c r="BF400" i="37"/>
  <c r="BF399" i="37"/>
  <c r="BF398" i="37"/>
  <c r="BF397" i="37"/>
  <c r="BF396" i="37"/>
  <c r="BF395" i="37"/>
  <c r="BF394" i="37"/>
  <c r="BF393" i="37"/>
  <c r="BF392" i="37"/>
  <c r="BF391" i="37"/>
  <c r="BF390" i="37"/>
  <c r="BF389" i="37"/>
  <c r="BF388" i="37"/>
  <c r="BF387" i="37"/>
  <c r="BF386" i="37"/>
  <c r="BF385" i="37"/>
  <c r="BF384" i="37"/>
  <c r="BF383" i="37"/>
  <c r="A504" i="37" l="1"/>
  <c r="A503" i="37"/>
  <c r="A502" i="37"/>
  <c r="A501" i="37"/>
  <c r="A500" i="37"/>
  <c r="A499" i="37"/>
  <c r="A498" i="37"/>
  <c r="A497" i="37"/>
  <c r="A496" i="37"/>
  <c r="A495" i="37"/>
  <c r="G457" i="37" l="1"/>
  <c r="A149" i="37" l="1"/>
  <c r="A148" i="37"/>
  <c r="A147" i="37"/>
  <c r="A146" i="37"/>
  <c r="A145" i="37"/>
  <c r="A144" i="37"/>
  <c r="A143" i="37"/>
  <c r="A142" i="37"/>
  <c r="A141" i="37"/>
  <c r="A140" i="37"/>
  <c r="A139" i="37"/>
  <c r="A138" i="37"/>
  <c r="A137" i="37"/>
  <c r="A136" i="37"/>
  <c r="A135" i="37"/>
  <c r="A134" i="37"/>
  <c r="A133" i="37"/>
  <c r="A132" i="37"/>
  <c r="A122" i="37"/>
  <c r="A121" i="37"/>
  <c r="A120" i="37"/>
  <c r="A119" i="37"/>
  <c r="A118" i="37"/>
  <c r="A117" i="37"/>
  <c r="A116" i="37"/>
  <c r="A115" i="37"/>
  <c r="A114" i="37"/>
  <c r="A113" i="37"/>
  <c r="A112" i="37"/>
  <c r="A111" i="37"/>
  <c r="A110" i="37"/>
  <c r="A109" i="37"/>
  <c r="A108" i="37"/>
  <c r="A107" i="37"/>
  <c r="A106" i="37"/>
  <c r="A105" i="37"/>
  <c r="A104" i="37"/>
  <c r="A103" i="37"/>
  <c r="A102" i="37"/>
  <c r="A101" i="37"/>
  <c r="A100" i="37"/>
  <c r="A99" i="37"/>
  <c r="A98" i="37"/>
  <c r="A97" i="37"/>
  <c r="A96" i="37"/>
  <c r="A95" i="37"/>
  <c r="A94" i="37"/>
  <c r="A93" i="37"/>
  <c r="A92" i="37"/>
  <c r="A91" i="37"/>
  <c r="A90" i="37"/>
  <c r="A89" i="37"/>
  <c r="A88" i="37"/>
  <c r="A87" i="37"/>
  <c r="A86" i="37"/>
  <c r="A85" i="37"/>
  <c r="A84" i="37"/>
  <c r="A83" i="37"/>
  <c r="A82" i="37"/>
  <c r="A81" i="37"/>
  <c r="A80" i="37"/>
  <c r="A79" i="37"/>
  <c r="A78" i="37"/>
  <c r="A77" i="37"/>
  <c r="A76" i="37"/>
  <c r="A75" i="37"/>
  <c r="A74" i="37"/>
  <c r="A73" i="37"/>
  <c r="A72" i="37"/>
  <c r="A71" i="37"/>
  <c r="A70" i="37"/>
  <c r="A69" i="37"/>
  <c r="E73" i="41" l="1"/>
  <c r="E68" i="41"/>
  <c r="G494" i="37" l="1"/>
  <c r="A68" i="37"/>
  <c r="A67" i="37"/>
  <c r="A66" i="37"/>
  <c r="A65" i="37"/>
  <c r="A64" i="37"/>
  <c r="A63" i="37"/>
  <c r="A62" i="37"/>
  <c r="A61" i="37"/>
  <c r="A60" i="37"/>
  <c r="A59" i="37"/>
  <c r="A58" i="37"/>
  <c r="A57" i="37"/>
  <c r="A56" i="37"/>
  <c r="A55" i="37"/>
  <c r="A54" i="37"/>
  <c r="A53" i="37"/>
  <c r="A52" i="37"/>
  <c r="A51" i="37"/>
  <c r="A50" i="37"/>
  <c r="A49" i="37"/>
  <c r="A48" i="37"/>
  <c r="A47" i="37"/>
  <c r="A46" i="37"/>
  <c r="A45" i="37"/>
  <c r="A44" i="37"/>
  <c r="A43" i="37"/>
  <c r="A42" i="37"/>
  <c r="A41" i="37"/>
  <c r="A40" i="37"/>
  <c r="A39" i="37"/>
  <c r="A38" i="37"/>
  <c r="A37" i="37"/>
  <c r="A36" i="37"/>
  <c r="A35" i="37"/>
  <c r="A34" i="37"/>
  <c r="A33" i="37"/>
  <c r="A32" i="37"/>
  <c r="A31" i="37"/>
  <c r="A30" i="37"/>
  <c r="A29" i="37"/>
  <c r="A28" i="37"/>
  <c r="A27" i="37"/>
  <c r="A26" i="37"/>
  <c r="A25" i="37"/>
  <c r="A24" i="37"/>
  <c r="A23" i="37"/>
  <c r="A22" i="37"/>
  <c r="A21" i="37"/>
  <c r="A20" i="37"/>
  <c r="A19" i="37"/>
  <c r="A18" i="37"/>
  <c r="A17" i="37"/>
  <c r="A16" i="37"/>
  <c r="A15" i="37"/>
  <c r="A14" i="37"/>
  <c r="A13" i="37"/>
  <c r="A12" i="37"/>
  <c r="A11" i="37"/>
  <c r="A10" i="37"/>
  <c r="H73" i="41" l="1"/>
  <c r="H52" i="41"/>
  <c r="J73" i="41" l="1"/>
  <c r="K73" i="41" s="1"/>
  <c r="F73" i="41"/>
  <c r="J68" i="41"/>
  <c r="K68" i="41" s="1"/>
  <c r="F68" i="41"/>
  <c r="H68" i="41" s="1"/>
  <c r="BO489" i="37"/>
  <c r="BQ489" i="37" s="1"/>
  <c r="BL489" i="37"/>
  <c r="BM489" i="37" s="1"/>
  <c r="BI489" i="37"/>
  <c r="BK489" i="37" s="1"/>
  <c r="BF489" i="37"/>
  <c r="BH489" i="37" s="1"/>
  <c r="BC489" i="37"/>
  <c r="BE489" i="37" s="1"/>
  <c r="AZ489" i="37"/>
  <c r="BA489" i="37" s="1"/>
  <c r="AY489" i="37"/>
  <c r="AV489" i="37"/>
  <c r="Z489" i="37"/>
  <c r="BO488" i="37"/>
  <c r="BQ488" i="37" s="1"/>
  <c r="BL488" i="37"/>
  <c r="BN488" i="37" s="1"/>
  <c r="BI488" i="37"/>
  <c r="BK488" i="37" s="1"/>
  <c r="BF488" i="37"/>
  <c r="BG488" i="37" s="1"/>
  <c r="BC488" i="37"/>
  <c r="BE488" i="37" s="1"/>
  <c r="AZ488" i="37"/>
  <c r="BB488" i="37" s="1"/>
  <c r="AY488" i="37"/>
  <c r="AV488" i="37"/>
  <c r="Z488" i="37"/>
  <c r="BO487" i="37"/>
  <c r="BQ487" i="37" s="1"/>
  <c r="BL487" i="37"/>
  <c r="BM487" i="37" s="1"/>
  <c r="BI487" i="37"/>
  <c r="BJ487" i="37" s="1"/>
  <c r="BF487" i="37"/>
  <c r="BH487" i="37" s="1"/>
  <c r="BC487" i="37"/>
  <c r="BE487" i="37" s="1"/>
  <c r="AZ487" i="37"/>
  <c r="BA487" i="37" s="1"/>
  <c r="AY487" i="37"/>
  <c r="AV487" i="37"/>
  <c r="Z487" i="37"/>
  <c r="BO485" i="37"/>
  <c r="BQ485" i="37" s="1"/>
  <c r="BL485" i="37"/>
  <c r="BM485" i="37" s="1"/>
  <c r="BI485" i="37"/>
  <c r="BK485" i="37" s="1"/>
  <c r="BF485" i="37"/>
  <c r="BH485" i="37" s="1"/>
  <c r="BC485" i="37"/>
  <c r="BE485" i="37" s="1"/>
  <c r="AZ485" i="37"/>
  <c r="BA485" i="37" s="1"/>
  <c r="AY485" i="37"/>
  <c r="AV485" i="37"/>
  <c r="Z485" i="37"/>
  <c r="BO484" i="37"/>
  <c r="BQ484" i="37" s="1"/>
  <c r="BL484" i="37"/>
  <c r="BN484" i="37" s="1"/>
  <c r="BI484" i="37"/>
  <c r="BJ484" i="37" s="1"/>
  <c r="BF484" i="37"/>
  <c r="BG484" i="37" s="1"/>
  <c r="BC484" i="37"/>
  <c r="BE484" i="37" s="1"/>
  <c r="AZ484" i="37"/>
  <c r="BB484" i="37" s="1"/>
  <c r="AY484" i="37"/>
  <c r="AV484" i="37"/>
  <c r="Z484" i="37"/>
  <c r="BO483" i="37"/>
  <c r="BQ483" i="37" s="1"/>
  <c r="BL483" i="37"/>
  <c r="BM483" i="37" s="1"/>
  <c r="BI483" i="37"/>
  <c r="BK483" i="37" s="1"/>
  <c r="BF483" i="37"/>
  <c r="BH483" i="37" s="1"/>
  <c r="BC483" i="37"/>
  <c r="BE483" i="37" s="1"/>
  <c r="AZ483" i="37"/>
  <c r="BA483" i="37" s="1"/>
  <c r="AY483" i="37"/>
  <c r="AV483" i="37"/>
  <c r="Z483" i="37"/>
  <c r="BO481" i="37"/>
  <c r="BQ481" i="37" s="1"/>
  <c r="BL481" i="37"/>
  <c r="BM481" i="37" s="1"/>
  <c r="BI481" i="37"/>
  <c r="BK481" i="37" s="1"/>
  <c r="BF481" i="37"/>
  <c r="BG481" i="37" s="1"/>
  <c r="BC481" i="37"/>
  <c r="BE481" i="37" s="1"/>
  <c r="AZ481" i="37"/>
  <c r="BA481" i="37" s="1"/>
  <c r="AY481" i="37"/>
  <c r="AV481" i="37"/>
  <c r="Z481" i="37"/>
  <c r="BO480" i="37"/>
  <c r="BQ480" i="37" s="1"/>
  <c r="BL480" i="37"/>
  <c r="BN480" i="37" s="1"/>
  <c r="BI480" i="37"/>
  <c r="BK480" i="37" s="1"/>
  <c r="BF480" i="37"/>
  <c r="BG480" i="37" s="1"/>
  <c r="BC480" i="37"/>
  <c r="BE480" i="37" s="1"/>
  <c r="AZ480" i="37"/>
  <c r="BB480" i="37" s="1"/>
  <c r="AY480" i="37"/>
  <c r="AV480" i="37"/>
  <c r="Z480" i="37"/>
  <c r="BO479" i="37"/>
  <c r="BQ479" i="37" s="1"/>
  <c r="BL479" i="37"/>
  <c r="BM479" i="37" s="1"/>
  <c r="BI479" i="37"/>
  <c r="BK479" i="37" s="1"/>
  <c r="BF479" i="37"/>
  <c r="BH479" i="37" s="1"/>
  <c r="BC479" i="37"/>
  <c r="BE479" i="37" s="1"/>
  <c r="AZ479" i="37"/>
  <c r="BA479" i="37" s="1"/>
  <c r="AY479" i="37"/>
  <c r="AV479" i="37"/>
  <c r="Z479" i="37"/>
  <c r="BO477" i="37"/>
  <c r="BQ477" i="37" s="1"/>
  <c r="BL477" i="37"/>
  <c r="BM477" i="37" s="1"/>
  <c r="BI477" i="37"/>
  <c r="BK477" i="37" s="1"/>
  <c r="BF477" i="37"/>
  <c r="BH477" i="37" s="1"/>
  <c r="BC477" i="37"/>
  <c r="BE477" i="37" s="1"/>
  <c r="AZ477" i="37"/>
  <c r="BA477" i="37" s="1"/>
  <c r="AY477" i="37"/>
  <c r="AV477" i="37"/>
  <c r="Z477" i="37"/>
  <c r="BO476" i="37"/>
  <c r="BQ476" i="37" s="1"/>
  <c r="BL476" i="37"/>
  <c r="BN476" i="37" s="1"/>
  <c r="BI476" i="37"/>
  <c r="BK476" i="37" s="1"/>
  <c r="BF476" i="37"/>
  <c r="BG476" i="37" s="1"/>
  <c r="BC476" i="37"/>
  <c r="BD476" i="37" s="1"/>
  <c r="AZ476" i="37"/>
  <c r="BB476" i="37" s="1"/>
  <c r="AY476" i="37"/>
  <c r="AV476" i="37"/>
  <c r="Z476" i="37"/>
  <c r="BO475" i="37"/>
  <c r="BQ475" i="37" s="1"/>
  <c r="BL475" i="37"/>
  <c r="BM475" i="37" s="1"/>
  <c r="BI475" i="37"/>
  <c r="BJ475" i="37" s="1"/>
  <c r="BF475" i="37"/>
  <c r="BH475" i="37" s="1"/>
  <c r="BC475" i="37"/>
  <c r="BE475" i="37" s="1"/>
  <c r="AZ475" i="37"/>
  <c r="BA475" i="37" s="1"/>
  <c r="AY475" i="37"/>
  <c r="AV475" i="37"/>
  <c r="Z475" i="37"/>
  <c r="C60" i="41"/>
  <c r="W1" i="37"/>
  <c r="D2" i="41"/>
  <c r="E2" i="40"/>
  <c r="X498" i="37" l="1"/>
  <c r="X497" i="37"/>
  <c r="X504" i="37"/>
  <c r="X503" i="37"/>
  <c r="BK487" i="37"/>
  <c r="BB481" i="37"/>
  <c r="BJ481" i="37"/>
  <c r="BK484" i="37"/>
  <c r="BD484" i="37"/>
  <c r="BN487" i="37"/>
  <c r="BH488" i="37"/>
  <c r="BB489" i="37"/>
  <c r="BJ489" i="37"/>
  <c r="BK475" i="37"/>
  <c r="BD487" i="37"/>
  <c r="BP487" i="37"/>
  <c r="BD488" i="37"/>
  <c r="BP488" i="37"/>
  <c r="BE476" i="37"/>
  <c r="BB483" i="37"/>
  <c r="BJ488" i="37"/>
  <c r="BN477" i="37"/>
  <c r="BN483" i="37"/>
  <c r="BP484" i="37"/>
  <c r="BB485" i="37"/>
  <c r="BJ485" i="37"/>
  <c r="BB487" i="37"/>
  <c r="BN489" i="37"/>
  <c r="BG487" i="37"/>
  <c r="BA488" i="37"/>
  <c r="BM488" i="37"/>
  <c r="BG489" i="37"/>
  <c r="BD489" i="37"/>
  <c r="BP489" i="37"/>
  <c r="BN475" i="37"/>
  <c r="BJ477" i="37"/>
  <c r="BH484" i="37"/>
  <c r="BH476" i="37"/>
  <c r="BP476" i="37"/>
  <c r="BB477" i="37"/>
  <c r="BB475" i="37"/>
  <c r="BD483" i="37"/>
  <c r="BJ483" i="37"/>
  <c r="BP483" i="37"/>
  <c r="BN485" i="37"/>
  <c r="BG483" i="37"/>
  <c r="BA484" i="37"/>
  <c r="BM484" i="37"/>
  <c r="BG485" i="37"/>
  <c r="BD485" i="37"/>
  <c r="BP485" i="37"/>
  <c r="BN479" i="37"/>
  <c r="BH480" i="37"/>
  <c r="BP480" i="37"/>
  <c r="BB479" i="37"/>
  <c r="BJ479" i="37"/>
  <c r="BD480" i="37"/>
  <c r="BN481" i="37"/>
  <c r="BG479" i="37"/>
  <c r="BD481" i="37"/>
  <c r="BH481" i="37"/>
  <c r="BP481" i="37"/>
  <c r="BA480" i="37"/>
  <c r="BM480" i="37"/>
  <c r="BD479" i="37"/>
  <c r="BP479" i="37"/>
  <c r="BJ480" i="37"/>
  <c r="BA476" i="37"/>
  <c r="BM476" i="37"/>
  <c r="BG477" i="37"/>
  <c r="BD477" i="37"/>
  <c r="BP477" i="37"/>
  <c r="BG475" i="37"/>
  <c r="BD475" i="37"/>
  <c r="BP475" i="37"/>
  <c r="BJ476" i="37"/>
  <c r="B4" i="40"/>
  <c r="E24" i="31" l="1"/>
  <c r="BF356" i="37" l="1"/>
  <c r="BF355" i="37"/>
  <c r="BF354" i="37"/>
  <c r="BF353" i="37"/>
  <c r="BF352" i="37"/>
  <c r="BF351" i="37"/>
  <c r="BF350" i="37"/>
  <c r="BF349" i="37"/>
  <c r="BF348" i="37"/>
  <c r="BF347" i="37"/>
  <c r="BF346" i="37"/>
  <c r="BF345" i="37"/>
  <c r="BF344" i="37"/>
  <c r="BF343" i="37"/>
  <c r="BF342" i="37"/>
  <c r="BF341" i="37"/>
  <c r="BF340" i="37"/>
  <c r="BF339" i="37"/>
  <c r="BF338" i="37"/>
  <c r="BF337" i="37"/>
  <c r="BF336" i="37"/>
  <c r="BF335" i="37"/>
  <c r="BF334" i="37"/>
  <c r="BF333" i="37"/>
  <c r="BF332" i="37"/>
  <c r="BF331" i="37"/>
  <c r="BF330" i="37"/>
  <c r="BF329" i="37"/>
  <c r="BF328" i="37"/>
  <c r="BF327" i="37"/>
  <c r="BF326" i="37"/>
  <c r="BF325" i="37"/>
  <c r="BF324" i="37"/>
  <c r="BF323" i="37"/>
  <c r="BF322" i="37"/>
  <c r="BF321" i="37"/>
  <c r="BF314" i="37"/>
  <c r="BF313" i="37"/>
  <c r="BF312" i="37"/>
  <c r="BF311" i="37"/>
  <c r="BF310" i="37"/>
  <c r="BF309" i="37"/>
  <c r="BF308" i="37"/>
  <c r="BF307" i="37"/>
  <c r="BF306" i="37"/>
  <c r="BF305" i="37"/>
  <c r="BF298" i="37"/>
  <c r="BF297" i="37"/>
  <c r="BF296" i="37"/>
  <c r="BF295" i="37"/>
  <c r="BF294" i="37"/>
  <c r="BF293" i="37"/>
  <c r="BF290" i="37"/>
  <c r="BF289" i="37"/>
  <c r="BF287" i="37"/>
  <c r="BF286" i="37"/>
  <c r="BF285" i="37"/>
  <c r="BF284" i="37"/>
  <c r="BF283" i="37"/>
  <c r="BF282" i="37"/>
  <c r="BF281" i="37"/>
  <c r="BF280" i="37"/>
  <c r="BF279" i="37"/>
  <c r="BF278" i="37"/>
  <c r="BF277" i="37"/>
  <c r="BF276" i="37"/>
  <c r="BF275" i="37"/>
  <c r="BF274" i="37"/>
  <c r="BF273" i="37"/>
  <c r="BF272" i="37"/>
  <c r="BF271" i="37"/>
  <c r="BF270" i="37"/>
  <c r="BF269" i="37"/>
  <c r="BF268" i="37"/>
  <c r="BF267" i="37"/>
  <c r="BF266" i="37"/>
  <c r="BF265" i="37"/>
  <c r="BF264" i="37"/>
  <c r="BF263" i="37"/>
  <c r="BF262" i="37"/>
  <c r="BF261" i="37"/>
  <c r="BF260" i="37"/>
  <c r="BF259" i="37"/>
  <c r="BF258" i="37"/>
  <c r="BF257" i="37"/>
  <c r="BF256" i="37"/>
  <c r="BF255" i="37"/>
  <c r="BF254" i="37"/>
  <c r="BF253" i="37"/>
  <c r="BF252" i="37"/>
  <c r="BF245" i="37"/>
  <c r="BF244" i="37"/>
  <c r="BF243" i="37"/>
  <c r="BF242" i="37"/>
  <c r="BF241" i="37"/>
  <c r="BF240" i="37"/>
  <c r="BF239" i="37"/>
  <c r="BF238" i="37"/>
  <c r="BF237" i="37"/>
  <c r="BF236" i="37"/>
  <c r="BF229" i="37"/>
  <c r="BF228" i="37"/>
  <c r="BF227" i="37"/>
  <c r="BF226" i="37"/>
  <c r="BF225" i="37"/>
  <c r="BF224" i="37"/>
  <c r="B14" i="46" l="1"/>
  <c r="B13" i="46"/>
  <c r="B12" i="46"/>
  <c r="B11" i="46"/>
  <c r="B10" i="46"/>
  <c r="B9" i="46"/>
  <c r="B8" i="46"/>
  <c r="B7" i="46"/>
  <c r="E74" i="41"/>
  <c r="J77" i="41"/>
  <c r="K77" i="41" s="1"/>
  <c r="F77" i="41"/>
  <c r="J76" i="41"/>
  <c r="K76" i="41" s="1"/>
  <c r="F76" i="41"/>
  <c r="J75" i="41"/>
  <c r="K75" i="41" s="1"/>
  <c r="F75" i="41"/>
  <c r="J72" i="41"/>
  <c r="K72" i="41" s="1"/>
  <c r="J71" i="41"/>
  <c r="K71" i="41" s="1"/>
  <c r="J70" i="41"/>
  <c r="K70" i="41" s="1"/>
  <c r="E69" i="41"/>
  <c r="E64" i="41"/>
  <c r="F72" i="41"/>
  <c r="F71" i="41"/>
  <c r="F70" i="41"/>
  <c r="J67" i="41"/>
  <c r="J66" i="41"/>
  <c r="J65" i="41"/>
  <c r="E58" i="41"/>
  <c r="J58" i="41"/>
  <c r="H58" i="41"/>
  <c r="O65" i="34" l="1"/>
  <c r="O68" i="34" s="1"/>
  <c r="N65" i="34"/>
  <c r="N67" i="34" s="1"/>
  <c r="M65" i="34"/>
  <c r="M66" i="34" s="1"/>
  <c r="L65" i="34"/>
  <c r="L68" i="34" s="1"/>
  <c r="O74" i="41" l="1"/>
  <c r="O85" i="47"/>
  <c r="O65" i="41"/>
  <c r="O66" i="47"/>
  <c r="O76" i="47"/>
  <c r="O77" i="41"/>
  <c r="O88" i="47"/>
  <c r="O71" i="41"/>
  <c r="O82" i="47"/>
  <c r="N66" i="34"/>
  <c r="O67" i="47" s="1"/>
  <c r="N68" i="34"/>
  <c r="L66" i="34"/>
  <c r="L67" i="34"/>
  <c r="O66" i="34"/>
  <c r="O67" i="34"/>
  <c r="M68" i="34"/>
  <c r="M67" i="34"/>
  <c r="O65" i="47" l="1"/>
  <c r="O70" i="47"/>
  <c r="O75" i="47"/>
  <c r="O70" i="41"/>
  <c r="O81" i="47"/>
  <c r="O75" i="41"/>
  <c r="O86" i="47"/>
  <c r="O69" i="41"/>
  <c r="O80" i="47"/>
  <c r="O72" i="41"/>
  <c r="O83" i="47"/>
  <c r="O67" i="41"/>
  <c r="O68" i="47"/>
  <c r="O78" i="47"/>
  <c r="O66" i="41"/>
  <c r="O77" i="47"/>
  <c r="O76" i="41"/>
  <c r="O87" i="47"/>
  <c r="O59" i="41"/>
  <c r="O64" i="41"/>
  <c r="X356" i="37"/>
  <c r="X355" i="37"/>
  <c r="X354" i="37"/>
  <c r="X353" i="37"/>
  <c r="X352" i="37"/>
  <c r="X351" i="37"/>
  <c r="X350" i="37"/>
  <c r="X349" i="37"/>
  <c r="X348" i="37"/>
  <c r="X347" i="37"/>
  <c r="X346" i="37"/>
  <c r="X345" i="37"/>
  <c r="X344" i="37"/>
  <c r="X343" i="37"/>
  <c r="X342" i="37"/>
  <c r="X341" i="37"/>
  <c r="X340" i="37"/>
  <c r="X339" i="37"/>
  <c r="X338" i="37"/>
  <c r="X337" i="37"/>
  <c r="X336" i="37"/>
  <c r="X335" i="37"/>
  <c r="X334" i="37"/>
  <c r="X333" i="37"/>
  <c r="X332" i="37"/>
  <c r="X331" i="37"/>
  <c r="X330" i="37"/>
  <c r="X329" i="37"/>
  <c r="X328" i="37"/>
  <c r="X327" i="37"/>
  <c r="X326" i="37"/>
  <c r="X325" i="37"/>
  <c r="X324" i="37"/>
  <c r="X323" i="37"/>
  <c r="X322" i="37"/>
  <c r="X321" i="37"/>
  <c r="X314" i="37"/>
  <c r="X313" i="37"/>
  <c r="X312" i="37"/>
  <c r="X311" i="37"/>
  <c r="X310" i="37"/>
  <c r="X309" i="37"/>
  <c r="X308" i="37"/>
  <c r="X307" i="37"/>
  <c r="X306" i="37"/>
  <c r="X305" i="37"/>
  <c r="X298" i="37"/>
  <c r="X297" i="37"/>
  <c r="X296" i="37"/>
  <c r="X295" i="37"/>
  <c r="X294" i="37"/>
  <c r="X293" i="37"/>
  <c r="X290" i="37"/>
  <c r="X289" i="37"/>
  <c r="E60" i="41" l="1"/>
  <c r="H60" i="41" s="1"/>
  <c r="E86" i="41"/>
  <c r="E57" i="41"/>
  <c r="E56" i="41"/>
  <c r="E48" i="41"/>
  <c r="E39" i="41"/>
  <c r="E38" i="41"/>
  <c r="E37" i="41"/>
  <c r="E36" i="41"/>
  <c r="E35" i="41"/>
  <c r="E34" i="41"/>
  <c r="E33" i="41"/>
  <c r="E32" i="41"/>
  <c r="E31" i="41"/>
  <c r="E30" i="41"/>
  <c r="E29" i="41"/>
  <c r="E28" i="41"/>
  <c r="E27" i="41"/>
  <c r="E26" i="41"/>
  <c r="H83" i="41" l="1"/>
  <c r="H80" i="41"/>
  <c r="F90" i="41"/>
  <c r="F89" i="41"/>
  <c r="F88" i="41"/>
  <c r="F87" i="41"/>
  <c r="F82" i="41"/>
  <c r="F74" i="41"/>
  <c r="F69" i="41"/>
  <c r="AY493" i="37" l="1"/>
  <c r="AV493" i="37"/>
  <c r="Z493" i="37"/>
  <c r="AY492" i="37"/>
  <c r="AV492" i="37"/>
  <c r="Z492" i="37"/>
  <c r="AY491" i="37"/>
  <c r="AV491" i="37"/>
  <c r="Z491" i="37"/>
  <c r="A66" i="45" l="1"/>
  <c r="A67" i="45" s="1"/>
  <c r="A68" i="45" s="1"/>
  <c r="A69" i="45" s="1"/>
  <c r="A70" i="45" s="1"/>
  <c r="A71" i="45" s="1"/>
  <c r="A72" i="45" s="1"/>
  <c r="A73" i="45" s="1"/>
  <c r="A74" i="45" s="1"/>
  <c r="A75" i="45" s="1"/>
  <c r="A76" i="45" s="1"/>
  <c r="A27" i="45"/>
  <c r="A28" i="45" s="1"/>
  <c r="A29" i="45" s="1"/>
  <c r="A30" i="45" s="1"/>
  <c r="A31" i="45" s="1"/>
  <c r="A32" i="45" s="1"/>
  <c r="I14" i="46"/>
  <c r="I22" i="46" s="1"/>
  <c r="I30" i="46" s="1"/>
  <c r="I38" i="46" s="1"/>
  <c r="I46" i="46" s="1"/>
  <c r="I54" i="46" s="1"/>
  <c r="I13" i="46"/>
  <c r="I21" i="46" s="1"/>
  <c r="I29" i="46" s="1"/>
  <c r="I37" i="46" s="1"/>
  <c r="I45" i="46" s="1"/>
  <c r="I53" i="46" s="1"/>
  <c r="I12" i="46"/>
  <c r="I20" i="46" s="1"/>
  <c r="I28" i="46" s="1"/>
  <c r="I36" i="46" s="1"/>
  <c r="I44" i="46" s="1"/>
  <c r="I52" i="46" s="1"/>
  <c r="I11" i="46"/>
  <c r="I19" i="46" s="1"/>
  <c r="I27" i="46" s="1"/>
  <c r="I35" i="46" s="1"/>
  <c r="I43" i="46" s="1"/>
  <c r="I51" i="46" s="1"/>
  <c r="I10" i="46"/>
  <c r="I18" i="46" s="1"/>
  <c r="I26" i="46" s="1"/>
  <c r="I34" i="46" s="1"/>
  <c r="I42" i="46" s="1"/>
  <c r="I50" i="46" s="1"/>
  <c r="I9" i="46"/>
  <c r="I17" i="46" s="1"/>
  <c r="I25" i="46" s="1"/>
  <c r="I33" i="46" s="1"/>
  <c r="I41" i="46" s="1"/>
  <c r="I49" i="46" s="1"/>
  <c r="I8" i="46"/>
  <c r="I7" i="46"/>
  <c r="I15" i="46" s="1"/>
  <c r="I23" i="46" s="1"/>
  <c r="I31" i="46" s="1"/>
  <c r="I39" i="46" s="1"/>
  <c r="I47" i="46" s="1"/>
  <c r="D23" i="46"/>
  <c r="D24" i="46" s="1"/>
  <c r="D25" i="46" s="1"/>
  <c r="D26" i="46" s="1"/>
  <c r="D27" i="46" s="1"/>
  <c r="D28" i="46" s="1"/>
  <c r="D29" i="46" s="1"/>
  <c r="D30" i="46" s="1"/>
  <c r="D15" i="46"/>
  <c r="D16" i="46" s="1"/>
  <c r="D17" i="46" s="1"/>
  <c r="D18" i="46" s="1"/>
  <c r="D19" i="46" s="1"/>
  <c r="D20" i="46" s="1"/>
  <c r="D21" i="46" s="1"/>
  <c r="D22" i="46" s="1"/>
  <c r="F22" i="46"/>
  <c r="F30" i="46" s="1"/>
  <c r="F46" i="46" s="1"/>
  <c r="F21" i="46"/>
  <c r="F29" i="46" s="1"/>
  <c r="F45" i="46" s="1"/>
  <c r="F20" i="46"/>
  <c r="F36" i="46" s="1"/>
  <c r="F52" i="46" s="1"/>
  <c r="F19" i="46"/>
  <c r="F35" i="46" s="1"/>
  <c r="F51" i="46" s="1"/>
  <c r="F18" i="46"/>
  <c r="F26" i="46" s="1"/>
  <c r="F42" i="46" s="1"/>
  <c r="F17" i="46"/>
  <c r="F25" i="46" s="1"/>
  <c r="F41" i="46" s="1"/>
  <c r="F16" i="46"/>
  <c r="F24" i="46" s="1"/>
  <c r="F40" i="46" s="1"/>
  <c r="F15" i="46"/>
  <c r="F31" i="46" s="1"/>
  <c r="C6" i="31"/>
  <c r="B22" i="46"/>
  <c r="B30" i="46" s="1"/>
  <c r="B21" i="46"/>
  <c r="B29" i="46" s="1"/>
  <c r="B20" i="46"/>
  <c r="B28" i="46" s="1"/>
  <c r="B19" i="46"/>
  <c r="B27" i="46" s="1"/>
  <c r="B18" i="46"/>
  <c r="B26" i="46" s="1"/>
  <c r="B17" i="46"/>
  <c r="B25" i="46" s="1"/>
  <c r="B16" i="46"/>
  <c r="B24" i="46" s="1"/>
  <c r="F14" i="46"/>
  <c r="F13" i="46"/>
  <c r="F12" i="46"/>
  <c r="F11" i="46"/>
  <c r="G30" i="31"/>
  <c r="E19" i="31"/>
  <c r="A35" i="45"/>
  <c r="A36" i="45" s="1"/>
  <c r="A37" i="45" s="1"/>
  <c r="F27" i="46" l="1"/>
  <c r="F43" i="46" s="1"/>
  <c r="F37" i="46"/>
  <c r="F53" i="46" s="1"/>
  <c r="F38" i="46"/>
  <c r="F54" i="46" s="1"/>
  <c r="F33" i="46"/>
  <c r="F49" i="46" s="1"/>
  <c r="F34" i="46"/>
  <c r="F50" i="46" s="1"/>
  <c r="F28" i="46"/>
  <c r="F44" i="46" s="1"/>
  <c r="F32" i="46"/>
  <c r="F48" i="46" s="1"/>
  <c r="F23" i="46"/>
  <c r="F39" i="46" s="1"/>
  <c r="F47" i="46" s="1"/>
  <c r="A16" i="40"/>
  <c r="G470" i="37"/>
  <c r="G414" i="37"/>
  <c r="G357" i="37"/>
  <c r="G288" i="37"/>
  <c r="G219" i="37"/>
  <c r="G196" i="37"/>
  <c r="G173" i="37"/>
  <c r="G150" i="37"/>
  <c r="AV424" i="37"/>
  <c r="AV421" i="37"/>
  <c r="AV418" i="37"/>
  <c r="X460" i="37"/>
  <c r="X461" i="37"/>
  <c r="H10" i="41"/>
  <c r="H49" i="41"/>
  <c r="F52" i="41"/>
  <c r="F49" i="41"/>
  <c r="F41" i="41"/>
  <c r="F39" i="41"/>
  <c r="F38" i="41"/>
  <c r="F37" i="41"/>
  <c r="F36" i="41"/>
  <c r="F35" i="41"/>
  <c r="F34" i="41"/>
  <c r="F33" i="41"/>
  <c r="F32" i="41"/>
  <c r="F31" i="41"/>
  <c r="F30" i="41"/>
  <c r="F29" i="41"/>
  <c r="F28" i="41"/>
  <c r="F27" i="41"/>
  <c r="F26" i="41"/>
  <c r="F25" i="41"/>
  <c r="F24" i="41"/>
  <c r="F23" i="41"/>
  <c r="F22" i="41"/>
  <c r="F21" i="41"/>
  <c r="F20" i="41"/>
  <c r="F19" i="41"/>
  <c r="F18" i="41"/>
  <c r="F17" i="41"/>
  <c r="F16" i="41"/>
  <c r="F15" i="41"/>
  <c r="F14" i="41"/>
  <c r="F13" i="41"/>
  <c r="F12" i="41"/>
  <c r="F11" i="41"/>
  <c r="F10" i="41"/>
  <c r="E25" i="41"/>
  <c r="E24" i="41"/>
  <c r="E23" i="41"/>
  <c r="E22" i="41"/>
  <c r="E21" i="41"/>
  <c r="E20" i="41"/>
  <c r="E19" i="41"/>
  <c r="E18" i="41"/>
  <c r="E17" i="41"/>
  <c r="E16" i="41"/>
  <c r="E15" i="41"/>
  <c r="E14" i="41"/>
  <c r="E12" i="41"/>
  <c r="E11" i="41"/>
  <c r="H22" i="41"/>
  <c r="H21" i="41"/>
  <c r="H20" i="41"/>
  <c r="H19" i="41"/>
  <c r="H18" i="41"/>
  <c r="H17" i="41"/>
  <c r="H16" i="41"/>
  <c r="H15" i="41"/>
  <c r="H14" i="41"/>
  <c r="H13" i="41"/>
  <c r="H12" i="41"/>
  <c r="H11" i="41"/>
  <c r="H23" i="41"/>
  <c r="H24" i="41"/>
  <c r="H38" i="41"/>
  <c r="H37" i="41"/>
  <c r="H36" i="41"/>
  <c r="H35" i="41"/>
  <c r="H34" i="41"/>
  <c r="H33" i="41"/>
  <c r="H32" i="41"/>
  <c r="H31" i="41"/>
  <c r="H30" i="41"/>
  <c r="H29" i="41"/>
  <c r="H28" i="41"/>
  <c r="H27" i="41"/>
  <c r="H26" i="41"/>
  <c r="H25" i="41"/>
  <c r="H39" i="41"/>
  <c r="H57" i="41"/>
  <c r="H48" i="41"/>
  <c r="X415" i="37"/>
  <c r="W415" i="37" s="1"/>
  <c r="H54" i="41"/>
  <c r="H53" i="41"/>
  <c r="H51" i="41"/>
  <c r="C63" i="41"/>
  <c r="C67" i="41" s="1"/>
  <c r="C62" i="41"/>
  <c r="C66" i="41" s="1"/>
  <c r="C61" i="41"/>
  <c r="C64" i="41"/>
  <c r="H64" i="41" s="1"/>
  <c r="F10" i="46"/>
  <c r="F9" i="46"/>
  <c r="F8" i="46"/>
  <c r="I16" i="46"/>
  <c r="I24" i="46" s="1"/>
  <c r="I32" i="46" s="1"/>
  <c r="I40" i="46" s="1"/>
  <c r="I48" i="46" s="1"/>
  <c r="B15" i="46"/>
  <c r="B23" i="46" s="1"/>
  <c r="F7" i="46"/>
  <c r="G3" i="46"/>
  <c r="C65" i="41" l="1"/>
  <c r="C70" i="41" s="1"/>
  <c r="C71" i="41"/>
  <c r="C72" i="41"/>
  <c r="C69" i="41"/>
  <c r="H69" i="41" s="1"/>
  <c r="O62" i="41"/>
  <c r="E62" i="41"/>
  <c r="H62" i="41" s="1"/>
  <c r="X492" i="37" s="1"/>
  <c r="E61" i="41"/>
  <c r="H61" i="41" s="1"/>
  <c r="E67" i="41"/>
  <c r="H67" i="41" s="1"/>
  <c r="E66" i="41"/>
  <c r="H66" i="41" s="1"/>
  <c r="O63" i="41"/>
  <c r="E63" i="41"/>
  <c r="H63" i="41" s="1"/>
  <c r="X493" i="37" s="1"/>
  <c r="O60" i="41"/>
  <c r="O61" i="41"/>
  <c r="G461" i="37"/>
  <c r="W461" i="37"/>
  <c r="G460" i="37"/>
  <c r="W460" i="37"/>
  <c r="G415" i="37"/>
  <c r="C28" i="46"/>
  <c r="C21" i="46"/>
  <c r="C23" i="46"/>
  <c r="C24" i="46"/>
  <c r="C18" i="46"/>
  <c r="C17" i="46"/>
  <c r="C26" i="46"/>
  <c r="C19" i="46"/>
  <c r="C20" i="46"/>
  <c r="C29" i="46"/>
  <c r="C22" i="46"/>
  <c r="C27" i="46"/>
  <c r="C15" i="46"/>
  <c r="C16" i="46"/>
  <c r="C25" i="46"/>
  <c r="C30" i="46"/>
  <c r="H56" i="41"/>
  <c r="D7" i="46" s="1"/>
  <c r="D8" i="46" s="1"/>
  <c r="D9" i="46" s="1"/>
  <c r="D10" i="46" s="1"/>
  <c r="D11" i="46" s="1"/>
  <c r="D12" i="46" s="1"/>
  <c r="D13" i="46" s="1"/>
  <c r="D14" i="46" s="1"/>
  <c r="E65" i="41" l="1"/>
  <c r="H65" i="41" s="1"/>
  <c r="X490" i="37"/>
  <c r="G490" i="37" s="1"/>
  <c r="C76" i="41"/>
  <c r="C75" i="41"/>
  <c r="C77" i="41"/>
  <c r="C74" i="41"/>
  <c r="H74" i="41" s="1"/>
  <c r="E71" i="41"/>
  <c r="H71" i="41" s="1"/>
  <c r="X476" i="37" s="1"/>
  <c r="E72" i="41"/>
  <c r="H72" i="41" s="1"/>
  <c r="X477" i="37" s="1"/>
  <c r="E70" i="41"/>
  <c r="H70" i="41" s="1"/>
  <c r="X475" i="37" s="1"/>
  <c r="X474" i="37"/>
  <c r="W493" i="37"/>
  <c r="G493" i="37"/>
  <c r="W492" i="37"/>
  <c r="G492" i="37"/>
  <c r="X491" i="37"/>
  <c r="W490" i="37" l="1"/>
  <c r="W491" i="37"/>
  <c r="X478" i="37"/>
  <c r="G477" i="37"/>
  <c r="W477" i="37"/>
  <c r="X481" i="37"/>
  <c r="W476" i="37"/>
  <c r="X480" i="37"/>
  <c r="G476" i="37"/>
  <c r="W475" i="37"/>
  <c r="X479" i="37"/>
  <c r="G475" i="37"/>
  <c r="E75" i="41"/>
  <c r="H75" i="41" s="1"/>
  <c r="X483" i="37" s="1"/>
  <c r="E76" i="41"/>
  <c r="H76" i="41" s="1"/>
  <c r="X484" i="37" s="1"/>
  <c r="W484" i="37" s="1"/>
  <c r="E77" i="41"/>
  <c r="H77" i="41" s="1"/>
  <c r="X485" i="37" s="1"/>
  <c r="G491" i="37"/>
  <c r="BO500" i="37"/>
  <c r="BQ500" i="37" s="1"/>
  <c r="BL500" i="37"/>
  <c r="BM500" i="37" s="1"/>
  <c r="BI500" i="37"/>
  <c r="BK500" i="37" s="1"/>
  <c r="BF500" i="37"/>
  <c r="BH500" i="37" s="1"/>
  <c r="BC500" i="37"/>
  <c r="BE500" i="37" s="1"/>
  <c r="AZ500" i="37"/>
  <c r="BA500" i="37" s="1"/>
  <c r="AY500" i="37"/>
  <c r="Z500" i="37"/>
  <c r="X500" i="37"/>
  <c r="X489" i="37" l="1"/>
  <c r="G485" i="37"/>
  <c r="W485" i="37"/>
  <c r="X488" i="37"/>
  <c r="W488" i="37" s="1"/>
  <c r="G484" i="37"/>
  <c r="W483" i="37"/>
  <c r="X487" i="37"/>
  <c r="G487" i="37" s="1"/>
  <c r="G483" i="37"/>
  <c r="X482" i="37"/>
  <c r="W481" i="37"/>
  <c r="G481" i="37"/>
  <c r="W489" i="37"/>
  <c r="G489" i="37"/>
  <c r="W480" i="37"/>
  <c r="G480" i="37"/>
  <c r="W479" i="37"/>
  <c r="G479" i="37"/>
  <c r="G500" i="37"/>
  <c r="W500" i="37"/>
  <c r="BB500" i="37"/>
  <c r="BJ500" i="37"/>
  <c r="BN500" i="37"/>
  <c r="BG500" i="37"/>
  <c r="BD500" i="37"/>
  <c r="BP500" i="37"/>
  <c r="AD90" i="34"/>
  <c r="AD89" i="34"/>
  <c r="AD88" i="34"/>
  <c r="AD87" i="34"/>
  <c r="AD86" i="34"/>
  <c r="AD85" i="34"/>
  <c r="AD84" i="34"/>
  <c r="AD83" i="34"/>
  <c r="X469" i="37"/>
  <c r="X468" i="37"/>
  <c r="X467" i="37"/>
  <c r="X466" i="37"/>
  <c r="X465" i="37"/>
  <c r="X464" i="37"/>
  <c r="X459" i="37"/>
  <c r="X458" i="37"/>
  <c r="X439" i="37"/>
  <c r="X442" i="37"/>
  <c r="X421" i="37"/>
  <c r="X424" i="37"/>
  <c r="X195" i="37"/>
  <c r="X194" i="37"/>
  <c r="X193" i="37"/>
  <c r="X192" i="37"/>
  <c r="X191" i="37"/>
  <c r="X190" i="37"/>
  <c r="X189" i="37"/>
  <c r="X188" i="37"/>
  <c r="X187" i="37"/>
  <c r="X186" i="37"/>
  <c r="X185" i="37"/>
  <c r="X184" i="37"/>
  <c r="X183" i="37"/>
  <c r="X182" i="37"/>
  <c r="X181" i="37"/>
  <c r="X180" i="37"/>
  <c r="X179" i="37"/>
  <c r="X178" i="37"/>
  <c r="X177" i="37"/>
  <c r="X176" i="37"/>
  <c r="X175" i="37"/>
  <c r="X174" i="37"/>
  <c r="H87" i="41"/>
  <c r="H90" i="41"/>
  <c r="H89" i="41"/>
  <c r="H88" i="41"/>
  <c r="H82" i="41"/>
  <c r="H41" i="41"/>
  <c r="D39" i="46" s="1"/>
  <c r="D40" i="46" s="1"/>
  <c r="J90" i="41"/>
  <c r="K90" i="41" s="1"/>
  <c r="E90" i="41" s="1"/>
  <c r="J89" i="41"/>
  <c r="K89" i="41" s="1"/>
  <c r="E89" i="41" s="1"/>
  <c r="J88" i="41"/>
  <c r="K88" i="41" s="1"/>
  <c r="E88" i="41" s="1"/>
  <c r="J87" i="41"/>
  <c r="K87" i="41" s="1"/>
  <c r="E87" i="41" s="1"/>
  <c r="J74" i="41"/>
  <c r="K74" i="41" s="1"/>
  <c r="J69" i="41"/>
  <c r="K69" i="41" s="1"/>
  <c r="H42" i="41"/>
  <c r="D47" i="46" s="1"/>
  <c r="J52" i="41"/>
  <c r="K52" i="41" s="1"/>
  <c r="E52" i="41" s="1"/>
  <c r="J49" i="41"/>
  <c r="K49" i="41" s="1"/>
  <c r="E49" i="41" s="1"/>
  <c r="J39" i="41"/>
  <c r="K39" i="41" s="1"/>
  <c r="J38" i="41"/>
  <c r="K38" i="41" s="1"/>
  <c r="J37" i="41"/>
  <c r="K37" i="41" s="1"/>
  <c r="J36" i="41"/>
  <c r="K36" i="41" s="1"/>
  <c r="J35" i="41"/>
  <c r="K35" i="41" s="1"/>
  <c r="J34" i="41"/>
  <c r="K34" i="41" s="1"/>
  <c r="J33" i="41"/>
  <c r="K33" i="41" s="1"/>
  <c r="J32" i="41"/>
  <c r="K32" i="41" s="1"/>
  <c r="J31" i="41"/>
  <c r="K31" i="41" s="1"/>
  <c r="J30" i="41"/>
  <c r="K30" i="41" s="1"/>
  <c r="J29" i="41"/>
  <c r="K29" i="41" s="1"/>
  <c r="J28" i="41"/>
  <c r="K28" i="41" s="1"/>
  <c r="J27" i="41"/>
  <c r="K27" i="41" s="1"/>
  <c r="J26" i="41"/>
  <c r="K26" i="41" s="1"/>
  <c r="J25" i="41"/>
  <c r="K25" i="41" s="1"/>
  <c r="J24" i="41"/>
  <c r="K24" i="41" s="1"/>
  <c r="J23" i="41"/>
  <c r="K23" i="41" s="1"/>
  <c r="J22" i="41"/>
  <c r="K22" i="41" s="1"/>
  <c r="J21" i="41"/>
  <c r="K21" i="41" s="1"/>
  <c r="J20" i="41"/>
  <c r="K20" i="41" s="1"/>
  <c r="J19" i="41"/>
  <c r="K19" i="41" s="1"/>
  <c r="J18" i="41"/>
  <c r="K18" i="41" s="1"/>
  <c r="J17" i="41"/>
  <c r="K17" i="41" s="1"/>
  <c r="J16" i="41"/>
  <c r="K16" i="41" s="1"/>
  <c r="J15" i="41"/>
  <c r="K15" i="41" s="1"/>
  <c r="J14" i="41"/>
  <c r="K14" i="41" s="1"/>
  <c r="J13" i="41"/>
  <c r="K13" i="41" s="1"/>
  <c r="J12" i="41"/>
  <c r="K12" i="41" s="1"/>
  <c r="J11" i="41"/>
  <c r="K11" i="41" s="1"/>
  <c r="J10" i="41"/>
  <c r="W487" i="37" l="1"/>
  <c r="G488" i="37"/>
  <c r="X486" i="37"/>
  <c r="W482" i="37"/>
  <c r="G180" i="37"/>
  <c r="W180" i="37"/>
  <c r="G188" i="37"/>
  <c r="W188" i="37"/>
  <c r="G424" i="37"/>
  <c r="W424" i="37"/>
  <c r="G466" i="37"/>
  <c r="W466" i="37"/>
  <c r="G181" i="37"/>
  <c r="W181" i="37"/>
  <c r="G189" i="37"/>
  <c r="W189" i="37"/>
  <c r="G421" i="37"/>
  <c r="W421" i="37"/>
  <c r="G467" i="37"/>
  <c r="W467" i="37"/>
  <c r="G174" i="37"/>
  <c r="W174" i="37"/>
  <c r="G178" i="37"/>
  <c r="W178" i="37"/>
  <c r="G182" i="37"/>
  <c r="W182" i="37"/>
  <c r="G186" i="37"/>
  <c r="W186" i="37"/>
  <c r="G190" i="37"/>
  <c r="W190" i="37"/>
  <c r="G194" i="37"/>
  <c r="W194" i="37"/>
  <c r="G442" i="37"/>
  <c r="W442" i="37"/>
  <c r="G464" i="37"/>
  <c r="W464" i="37"/>
  <c r="G468" i="37"/>
  <c r="W468" i="37"/>
  <c r="G176" i="37"/>
  <c r="W176" i="37"/>
  <c r="G184" i="37"/>
  <c r="W184" i="37"/>
  <c r="G192" i="37"/>
  <c r="W192" i="37"/>
  <c r="G458" i="37"/>
  <c r="W458" i="37"/>
  <c r="G177" i="37"/>
  <c r="W177" i="37"/>
  <c r="G185" i="37"/>
  <c r="W185" i="37"/>
  <c r="G193" i="37"/>
  <c r="W193" i="37"/>
  <c r="G459" i="37"/>
  <c r="W459" i="37"/>
  <c r="G175" i="37"/>
  <c r="W175" i="37"/>
  <c r="G179" i="37"/>
  <c r="W179" i="37"/>
  <c r="G183" i="37"/>
  <c r="W183" i="37"/>
  <c r="G187" i="37"/>
  <c r="W187" i="37"/>
  <c r="G191" i="37"/>
  <c r="W191" i="37"/>
  <c r="G195" i="37"/>
  <c r="W195" i="37"/>
  <c r="G439" i="37"/>
  <c r="W439" i="37"/>
  <c r="G465" i="37"/>
  <c r="W465" i="37"/>
  <c r="G469" i="37"/>
  <c r="W469" i="37"/>
  <c r="D41" i="46"/>
  <c r="D48" i="46"/>
  <c r="X172" i="37"/>
  <c r="X171" i="37"/>
  <c r="X170" i="37"/>
  <c r="X169" i="37"/>
  <c r="X168" i="37"/>
  <c r="X167" i="37"/>
  <c r="X166" i="37"/>
  <c r="X165" i="37"/>
  <c r="X164" i="37"/>
  <c r="X163" i="37"/>
  <c r="X162" i="37"/>
  <c r="X161" i="37"/>
  <c r="X160" i="37"/>
  <c r="X159" i="37"/>
  <c r="X158" i="37"/>
  <c r="X157" i="37"/>
  <c r="X156" i="37"/>
  <c r="X155" i="37"/>
  <c r="X154" i="37"/>
  <c r="X153" i="37"/>
  <c r="X152" i="37"/>
  <c r="X151" i="37"/>
  <c r="G151" i="37" l="1"/>
  <c r="W151" i="37"/>
  <c r="G159" i="37"/>
  <c r="W159" i="37"/>
  <c r="G167" i="37"/>
  <c r="W167" i="37"/>
  <c r="G152" i="37"/>
  <c r="W152" i="37"/>
  <c r="G156" i="37"/>
  <c r="W156" i="37"/>
  <c r="G160" i="37"/>
  <c r="W160" i="37"/>
  <c r="G164" i="37"/>
  <c r="W164" i="37"/>
  <c r="G168" i="37"/>
  <c r="W168" i="37"/>
  <c r="G172" i="37"/>
  <c r="W172" i="37"/>
  <c r="G153" i="37"/>
  <c r="W153" i="37"/>
  <c r="G157" i="37"/>
  <c r="W157" i="37"/>
  <c r="G161" i="37"/>
  <c r="W161" i="37"/>
  <c r="G165" i="37"/>
  <c r="W165" i="37"/>
  <c r="G169" i="37"/>
  <c r="W169" i="37"/>
  <c r="G155" i="37"/>
  <c r="W155" i="37"/>
  <c r="G163" i="37"/>
  <c r="W163" i="37"/>
  <c r="G171" i="37"/>
  <c r="W171" i="37"/>
  <c r="G154" i="37"/>
  <c r="W154" i="37"/>
  <c r="G158" i="37"/>
  <c r="W158" i="37"/>
  <c r="G162" i="37"/>
  <c r="W162" i="37"/>
  <c r="G166" i="37"/>
  <c r="W166" i="37"/>
  <c r="G170" i="37"/>
  <c r="W170" i="37"/>
  <c r="D42" i="46"/>
  <c r="D49" i="46"/>
  <c r="AY149" i="37"/>
  <c r="AZ149" i="37" s="1"/>
  <c r="AY148" i="37"/>
  <c r="AZ148" i="37" s="1"/>
  <c r="AY147" i="37"/>
  <c r="AZ147" i="37" s="1"/>
  <c r="AY146" i="37"/>
  <c r="AZ146" i="37" s="1"/>
  <c r="BB146" i="37" s="1"/>
  <c r="AY145" i="37"/>
  <c r="AZ145" i="37" s="1"/>
  <c r="AY144" i="37"/>
  <c r="AZ144" i="37" s="1"/>
  <c r="AY143" i="37"/>
  <c r="AZ143" i="37" s="1"/>
  <c r="AY142" i="37"/>
  <c r="AZ142" i="37" s="1"/>
  <c r="BA142" i="37" s="1"/>
  <c r="AY141" i="37"/>
  <c r="AZ141" i="37" s="1"/>
  <c r="AY140" i="37"/>
  <c r="AZ140" i="37" s="1"/>
  <c r="AY139" i="37"/>
  <c r="AZ139" i="37" s="1"/>
  <c r="AY138" i="37"/>
  <c r="AZ138" i="37" s="1"/>
  <c r="BA138" i="37" s="1"/>
  <c r="AY137" i="37"/>
  <c r="AZ137" i="37" s="1"/>
  <c r="AY136" i="37"/>
  <c r="AZ136" i="37" s="1"/>
  <c r="AY135" i="37"/>
  <c r="AZ135" i="37" s="1"/>
  <c r="AY134" i="37"/>
  <c r="AZ134" i="37" s="1"/>
  <c r="BA134" i="37" s="1"/>
  <c r="AY133" i="37"/>
  <c r="AZ133" i="37" s="1"/>
  <c r="BA133" i="37" s="1"/>
  <c r="AY132" i="37"/>
  <c r="AZ132" i="37" s="1"/>
  <c r="J149" i="37"/>
  <c r="X149" i="37" s="1"/>
  <c r="J148" i="37"/>
  <c r="X148" i="37" s="1"/>
  <c r="J147" i="37"/>
  <c r="X147" i="37" s="1"/>
  <c r="J146" i="37"/>
  <c r="X146" i="37" s="1"/>
  <c r="J145" i="37"/>
  <c r="X145" i="37" s="1"/>
  <c r="J144" i="37"/>
  <c r="X144" i="37" s="1"/>
  <c r="J143" i="37"/>
  <c r="X143" i="37" s="1"/>
  <c r="J142" i="37"/>
  <c r="X142" i="37" s="1"/>
  <c r="J141" i="37"/>
  <c r="X141" i="37" s="1"/>
  <c r="J140" i="37"/>
  <c r="X140" i="37" s="1"/>
  <c r="J139" i="37"/>
  <c r="X139" i="37" s="1"/>
  <c r="J138" i="37"/>
  <c r="X138" i="37" s="1"/>
  <c r="J137" i="37"/>
  <c r="X137" i="37" s="1"/>
  <c r="J136" i="37"/>
  <c r="X136" i="37" s="1"/>
  <c r="J135" i="37"/>
  <c r="X135" i="37" s="1"/>
  <c r="J134" i="37"/>
  <c r="X134" i="37" s="1"/>
  <c r="J133" i="37"/>
  <c r="X133" i="37" s="1"/>
  <c r="J132" i="37"/>
  <c r="X132" i="37" s="1"/>
  <c r="G138" i="37" l="1"/>
  <c r="G146" i="37"/>
  <c r="G135" i="37"/>
  <c r="G143" i="37"/>
  <c r="G132" i="37"/>
  <c r="G136" i="37"/>
  <c r="G140" i="37"/>
  <c r="G144" i="37"/>
  <c r="G148" i="37"/>
  <c r="G134" i="37"/>
  <c r="G142" i="37"/>
  <c r="G139" i="37"/>
  <c r="G147" i="37"/>
  <c r="G133" i="37"/>
  <c r="G137" i="37"/>
  <c r="G141" i="37"/>
  <c r="G145" i="37"/>
  <c r="G149" i="37"/>
  <c r="D50" i="46"/>
  <c r="D43" i="46"/>
  <c r="BB145" i="37"/>
  <c r="BA145" i="37"/>
  <c r="BB133" i="37"/>
  <c r="BB137" i="37"/>
  <c r="BA137" i="37"/>
  <c r="BB141" i="37"/>
  <c r="BA141" i="37"/>
  <c r="BB149" i="37"/>
  <c r="BA149" i="37"/>
  <c r="BA136" i="37"/>
  <c r="BB136" i="37"/>
  <c r="BB139" i="37"/>
  <c r="BA139" i="37"/>
  <c r="BA144" i="37"/>
  <c r="BB144" i="37"/>
  <c r="BB147" i="37"/>
  <c r="BA147" i="37"/>
  <c r="BA132" i="37"/>
  <c r="BB132" i="37"/>
  <c r="BB135" i="37"/>
  <c r="BA135" i="37"/>
  <c r="BA140" i="37"/>
  <c r="BB140" i="37"/>
  <c r="BB143" i="37"/>
  <c r="BA143" i="37"/>
  <c r="BA148" i="37"/>
  <c r="BB148" i="37"/>
  <c r="BA146" i="37"/>
  <c r="BB134" i="37"/>
  <c r="BB138" i="37"/>
  <c r="BB142" i="37"/>
  <c r="AY490" i="37"/>
  <c r="AV490" i="37"/>
  <c r="Z490" i="37"/>
  <c r="D44" i="46" l="1"/>
  <c r="D51" i="46"/>
  <c r="E63" i="3"/>
  <c r="E62" i="3"/>
  <c r="E61" i="3"/>
  <c r="E64" i="3"/>
  <c r="D52" i="46" l="1"/>
  <c r="D45" i="46"/>
  <c r="D26" i="44"/>
  <c r="D46" i="46" l="1"/>
  <c r="D53" i="46"/>
  <c r="E60" i="3"/>
  <c r="E59" i="3"/>
  <c r="H59" i="3"/>
  <c r="E65" i="3"/>
  <c r="D54" i="46" l="1"/>
  <c r="B25" i="44"/>
  <c r="B24" i="44"/>
  <c r="B23" i="44"/>
  <c r="B22" i="44"/>
  <c r="B21" i="44"/>
  <c r="B20" i="44"/>
  <c r="B19" i="44"/>
  <c r="B18" i="44"/>
  <c r="B17" i="44"/>
  <c r="B16" i="44"/>
  <c r="B15" i="44"/>
  <c r="B14" i="44"/>
  <c r="B13" i="44"/>
  <c r="B12" i="44"/>
  <c r="B11" i="44"/>
  <c r="B10" i="44"/>
  <c r="B9" i="44"/>
  <c r="J56" i="41" l="1"/>
  <c r="C5" i="37" l="1"/>
  <c r="E12" i="40" l="1"/>
  <c r="AV2" i="37"/>
  <c r="AV292" i="37" l="1"/>
  <c r="AV291" i="37"/>
  <c r="AV220" i="37"/>
  <c r="AV222" i="37"/>
  <c r="AV223" i="37"/>
  <c r="A17" i="40"/>
  <c r="D12" i="40"/>
  <c r="F12" i="40"/>
  <c r="X463" i="37"/>
  <c r="X462" i="37"/>
  <c r="X413" i="37"/>
  <c r="X412" i="37"/>
  <c r="X411" i="37"/>
  <c r="X410" i="37"/>
  <c r="X409" i="37"/>
  <c r="X408" i="37"/>
  <c r="X407" i="37"/>
  <c r="X406" i="37"/>
  <c r="X405" i="37"/>
  <c r="X404" i="37"/>
  <c r="X403" i="37"/>
  <c r="X402" i="37"/>
  <c r="X401" i="37"/>
  <c r="X400" i="37"/>
  <c r="X399" i="37"/>
  <c r="X398" i="37"/>
  <c r="X397" i="37"/>
  <c r="X396" i="37"/>
  <c r="X395" i="37"/>
  <c r="X394" i="37"/>
  <c r="X393" i="37"/>
  <c r="X392" i="37"/>
  <c r="X391" i="37"/>
  <c r="X390" i="37"/>
  <c r="X389" i="37"/>
  <c r="X388" i="37"/>
  <c r="X387" i="37"/>
  <c r="X386" i="37"/>
  <c r="X385" i="37"/>
  <c r="X384" i="37"/>
  <c r="X383" i="37"/>
  <c r="X382" i="37"/>
  <c r="X381" i="37"/>
  <c r="X380" i="37"/>
  <c r="X379" i="37"/>
  <c r="X378" i="37"/>
  <c r="X377" i="37"/>
  <c r="X376" i="37"/>
  <c r="X375" i="37"/>
  <c r="X374" i="37"/>
  <c r="X373" i="37"/>
  <c r="X372" i="37"/>
  <c r="X371" i="37"/>
  <c r="X370" i="37"/>
  <c r="X369" i="37"/>
  <c r="X368" i="37"/>
  <c r="X367" i="37"/>
  <c r="X366" i="37"/>
  <c r="X365" i="37"/>
  <c r="X364" i="37"/>
  <c r="X363" i="37"/>
  <c r="X362" i="37"/>
  <c r="X359" i="37"/>
  <c r="X358" i="37"/>
  <c r="X218" i="37"/>
  <c r="X217" i="37"/>
  <c r="X216" i="37"/>
  <c r="X215" i="37"/>
  <c r="X214" i="37"/>
  <c r="X213" i="37"/>
  <c r="X212" i="37"/>
  <c r="X211" i="37"/>
  <c r="X210" i="37"/>
  <c r="X209" i="37"/>
  <c r="X208" i="37"/>
  <c r="X207" i="37"/>
  <c r="X206" i="37"/>
  <c r="X205" i="37"/>
  <c r="X204" i="37"/>
  <c r="X203" i="37"/>
  <c r="X202" i="37"/>
  <c r="X201" i="37"/>
  <c r="X200" i="37"/>
  <c r="X199" i="37"/>
  <c r="X198" i="37"/>
  <c r="X197" i="37"/>
  <c r="H92" i="41"/>
  <c r="H94" i="41"/>
  <c r="K3" i="41"/>
  <c r="I3" i="41"/>
  <c r="BA150" i="37"/>
  <c r="H40" i="41"/>
  <c r="W356" i="37"/>
  <c r="W355" i="37"/>
  <c r="W354" i="37"/>
  <c r="W353" i="37"/>
  <c r="W352" i="37"/>
  <c r="W351" i="37"/>
  <c r="W350" i="37"/>
  <c r="W349" i="37"/>
  <c r="W348" i="37"/>
  <c r="W347" i="37"/>
  <c r="W346" i="37"/>
  <c r="W345" i="37"/>
  <c r="W344" i="37"/>
  <c r="W343" i="37"/>
  <c r="W342" i="37"/>
  <c r="W341" i="37"/>
  <c r="W340" i="37"/>
  <c r="W339" i="37"/>
  <c r="W338" i="37"/>
  <c r="W337" i="37"/>
  <c r="W336" i="37"/>
  <c r="W335" i="37"/>
  <c r="W334" i="37"/>
  <c r="W333" i="37"/>
  <c r="W332" i="37"/>
  <c r="W331" i="37"/>
  <c r="W330" i="37"/>
  <c r="W329" i="37"/>
  <c r="W328" i="37"/>
  <c r="W327" i="37"/>
  <c r="W326" i="37"/>
  <c r="W325" i="37"/>
  <c r="W324" i="37"/>
  <c r="W323" i="37"/>
  <c r="W322" i="37"/>
  <c r="W321" i="37"/>
  <c r="W314" i="37"/>
  <c r="W313" i="37"/>
  <c r="W312" i="37"/>
  <c r="W311" i="37"/>
  <c r="W310" i="37"/>
  <c r="W309" i="37"/>
  <c r="W308" i="37"/>
  <c r="W307" i="37"/>
  <c r="W306" i="37"/>
  <c r="W305" i="37"/>
  <c r="W298" i="37"/>
  <c r="W297" i="37"/>
  <c r="W296" i="37"/>
  <c r="W295" i="37"/>
  <c r="W294" i="37"/>
  <c r="W293" i="37"/>
  <c r="W290" i="37"/>
  <c r="W289" i="37"/>
  <c r="H91" i="41"/>
  <c r="H86" i="41"/>
  <c r="H85" i="41"/>
  <c r="H84" i="41"/>
  <c r="H81" i="41"/>
  <c r="H79" i="41"/>
  <c r="H78" i="41"/>
  <c r="M91" i="41"/>
  <c r="K85" i="41"/>
  <c r="J85" i="41" s="1"/>
  <c r="K79" i="41"/>
  <c r="J79" i="41" s="1"/>
  <c r="J64" i="41"/>
  <c r="K54" i="41"/>
  <c r="J54" i="41" s="1"/>
  <c r="K53" i="41"/>
  <c r="J53" i="41" s="1"/>
  <c r="K51" i="41"/>
  <c r="J51" i="41" s="1"/>
  <c r="M50" i="41"/>
  <c r="M53" i="41" s="1"/>
  <c r="K50" i="41"/>
  <c r="J50" i="41" s="1"/>
  <c r="J48" i="41"/>
  <c r="M45" i="41"/>
  <c r="K44" i="41"/>
  <c r="E44" i="41" s="1"/>
  <c r="J42" i="41"/>
  <c r="D41" i="41"/>
  <c r="J40" i="41"/>
  <c r="B5" i="37"/>
  <c r="C316" i="37" l="1"/>
  <c r="C320" i="37"/>
  <c r="C301" i="37"/>
  <c r="C300" i="37"/>
  <c r="C319" i="37"/>
  <c r="C302" i="37"/>
  <c r="C299" i="37"/>
  <c r="C303" i="37"/>
  <c r="C318" i="37"/>
  <c r="C317" i="37"/>
  <c r="C304" i="37"/>
  <c r="C315" i="37"/>
  <c r="A247" i="37"/>
  <c r="A250" i="37"/>
  <c r="A248" i="37"/>
  <c r="A251" i="37"/>
  <c r="A246" i="37"/>
  <c r="A249" i="37"/>
  <c r="H128" i="37"/>
  <c r="AV128" i="37" s="1"/>
  <c r="H130" i="37"/>
  <c r="AV130" i="37" s="1"/>
  <c r="H129" i="37"/>
  <c r="AV129" i="37" s="1"/>
  <c r="H131" i="37"/>
  <c r="AV131" i="37" s="1"/>
  <c r="H127" i="37"/>
  <c r="AV127" i="37" s="1"/>
  <c r="H124" i="37"/>
  <c r="AV124" i="37" s="1"/>
  <c r="H126" i="37"/>
  <c r="AV126" i="37" s="1"/>
  <c r="H125" i="37"/>
  <c r="AV125" i="37" s="1"/>
  <c r="H123" i="37"/>
  <c r="AV123" i="37" s="1"/>
  <c r="A235" i="37"/>
  <c r="A232" i="37"/>
  <c r="A231" i="37"/>
  <c r="A233" i="37"/>
  <c r="A230" i="37"/>
  <c r="A234" i="37"/>
  <c r="H451" i="37"/>
  <c r="H427" i="37"/>
  <c r="H435" i="37"/>
  <c r="H437" i="37"/>
  <c r="H447" i="37"/>
  <c r="H429" i="37"/>
  <c r="H433" i="37"/>
  <c r="H449" i="37"/>
  <c r="H445" i="37"/>
  <c r="H455" i="37"/>
  <c r="H431" i="37"/>
  <c r="H453" i="37"/>
  <c r="H438" i="37"/>
  <c r="H436" i="37"/>
  <c r="H434" i="37"/>
  <c r="H432" i="37"/>
  <c r="H430" i="37"/>
  <c r="H428" i="37"/>
  <c r="H454" i="37"/>
  <c r="H450" i="37"/>
  <c r="H456" i="37"/>
  <c r="H448" i="37"/>
  <c r="H452" i="37"/>
  <c r="H446" i="37"/>
  <c r="H443" i="37"/>
  <c r="H444" i="37"/>
  <c r="H439" i="37"/>
  <c r="H440" i="37"/>
  <c r="H442" i="37"/>
  <c r="A441" i="37"/>
  <c r="A444" i="37"/>
  <c r="H441" i="37"/>
  <c r="A443" i="37"/>
  <c r="A440" i="37"/>
  <c r="A423" i="37"/>
  <c r="A416" i="37"/>
  <c r="A422" i="37"/>
  <c r="A426" i="37"/>
  <c r="A420" i="37"/>
  <c r="A425" i="37"/>
  <c r="A417" i="37"/>
  <c r="A419" i="37"/>
  <c r="H360" i="37"/>
  <c r="H361" i="37"/>
  <c r="C292" i="37"/>
  <c r="C291" i="37"/>
  <c r="A222" i="37"/>
  <c r="A223" i="37"/>
  <c r="A465" i="37"/>
  <c r="A467" i="37"/>
  <c r="A458" i="37"/>
  <c r="A469" i="37"/>
  <c r="A459" i="37"/>
  <c r="A466" i="37"/>
  <c r="A464" i="37"/>
  <c r="A468" i="37"/>
  <c r="A415" i="37"/>
  <c r="A492" i="37"/>
  <c r="A493" i="37"/>
  <c r="H497" i="37"/>
  <c r="A490" i="37"/>
  <c r="A476" i="37"/>
  <c r="A491" i="37"/>
  <c r="A475" i="37"/>
  <c r="A485" i="37"/>
  <c r="A474" i="37"/>
  <c r="A477" i="37"/>
  <c r="H498" i="37"/>
  <c r="A481" i="37"/>
  <c r="A150" i="37"/>
  <c r="A470" i="37"/>
  <c r="A484" i="37"/>
  <c r="A414" i="37"/>
  <c r="A479" i="37"/>
  <c r="A489" i="37"/>
  <c r="A357" i="37"/>
  <c r="A196" i="37"/>
  <c r="A483" i="37"/>
  <c r="A482" i="37"/>
  <c r="A487" i="37"/>
  <c r="A478" i="37"/>
  <c r="A173" i="37"/>
  <c r="A219" i="37"/>
  <c r="A480" i="37"/>
  <c r="A288" i="37"/>
  <c r="A488" i="37"/>
  <c r="A486" i="37"/>
  <c r="A424" i="37"/>
  <c r="A421" i="37"/>
  <c r="A442" i="37"/>
  <c r="A439" i="37"/>
  <c r="W368" i="37"/>
  <c r="W380" i="37"/>
  <c r="W388" i="37"/>
  <c r="W396" i="37"/>
  <c r="W404" i="37"/>
  <c r="W412" i="37"/>
  <c r="W359" i="37"/>
  <c r="W365" i="37"/>
  <c r="W369" i="37"/>
  <c r="W373" i="37"/>
  <c r="W377" i="37"/>
  <c r="W381" i="37"/>
  <c r="W385" i="37"/>
  <c r="W389" i="37"/>
  <c r="W393" i="37"/>
  <c r="W397" i="37"/>
  <c r="W401" i="37"/>
  <c r="W405" i="37"/>
  <c r="W409" i="37"/>
  <c r="W413" i="37"/>
  <c r="W358" i="37"/>
  <c r="W372" i="37"/>
  <c r="W376" i="37"/>
  <c r="W384" i="37"/>
  <c r="W392" i="37"/>
  <c r="W400" i="37"/>
  <c r="W408" i="37"/>
  <c r="W362" i="37"/>
  <c r="W366" i="37"/>
  <c r="W370" i="37"/>
  <c r="W374" i="37"/>
  <c r="W378" i="37"/>
  <c r="W382" i="37"/>
  <c r="W386" i="37"/>
  <c r="W390" i="37"/>
  <c r="W394" i="37"/>
  <c r="W398" i="37"/>
  <c r="W402" i="37"/>
  <c r="W406" i="37"/>
  <c r="W410" i="37"/>
  <c r="W364" i="37"/>
  <c r="W363" i="37"/>
  <c r="W367" i="37"/>
  <c r="W371" i="37"/>
  <c r="W375" i="37"/>
  <c r="W379" i="37"/>
  <c r="W383" i="37"/>
  <c r="W387" i="37"/>
  <c r="W391" i="37"/>
  <c r="W395" i="37"/>
  <c r="W399" i="37"/>
  <c r="W403" i="37"/>
  <c r="W407" i="37"/>
  <c r="W411" i="37"/>
  <c r="E22" i="31"/>
  <c r="G201" i="37"/>
  <c r="W201" i="37"/>
  <c r="G462" i="37"/>
  <c r="W462" i="37"/>
  <c r="G198" i="37"/>
  <c r="W198" i="37"/>
  <c r="G202" i="37"/>
  <c r="W202" i="37"/>
  <c r="G206" i="37"/>
  <c r="W206" i="37"/>
  <c r="G210" i="37"/>
  <c r="W210" i="37"/>
  <c r="G214" i="37"/>
  <c r="W214" i="37"/>
  <c r="G218" i="37"/>
  <c r="W218" i="37"/>
  <c r="G463" i="37"/>
  <c r="W463" i="37"/>
  <c r="G205" i="37"/>
  <c r="W205" i="37"/>
  <c r="G213" i="37"/>
  <c r="W213" i="37"/>
  <c r="G199" i="37"/>
  <c r="W199" i="37"/>
  <c r="G203" i="37"/>
  <c r="W203" i="37"/>
  <c r="G207" i="37"/>
  <c r="W207" i="37"/>
  <c r="G211" i="37"/>
  <c r="W211" i="37"/>
  <c r="G215" i="37"/>
  <c r="W215" i="37"/>
  <c r="G197" i="37"/>
  <c r="W197" i="37"/>
  <c r="G209" i="37"/>
  <c r="W209" i="37"/>
  <c r="G217" i="37"/>
  <c r="W217" i="37"/>
  <c r="G200" i="37"/>
  <c r="W200" i="37"/>
  <c r="G204" i="37"/>
  <c r="W204" i="37"/>
  <c r="G208" i="37"/>
  <c r="W208" i="37"/>
  <c r="G212" i="37"/>
  <c r="W212" i="37"/>
  <c r="G216" i="37"/>
  <c r="W216" i="37"/>
  <c r="G306" i="37"/>
  <c r="G314" i="37"/>
  <c r="G332" i="37"/>
  <c r="G344" i="37"/>
  <c r="G352" i="37"/>
  <c r="G293" i="37"/>
  <c r="G297" i="37"/>
  <c r="G307" i="37"/>
  <c r="G311" i="37"/>
  <c r="G321" i="37"/>
  <c r="G325" i="37"/>
  <c r="G329" i="37"/>
  <c r="G333" i="37"/>
  <c r="G337" i="37"/>
  <c r="G341" i="37"/>
  <c r="G345" i="37"/>
  <c r="G349" i="37"/>
  <c r="G353" i="37"/>
  <c r="G310" i="37"/>
  <c r="G328" i="37"/>
  <c r="G340" i="37"/>
  <c r="G294" i="37"/>
  <c r="G298" i="37"/>
  <c r="G308" i="37"/>
  <c r="G312" i="37"/>
  <c r="G322" i="37"/>
  <c r="G326" i="37"/>
  <c r="G330" i="37"/>
  <c r="G334" i="37"/>
  <c r="G338" i="37"/>
  <c r="G342" i="37"/>
  <c r="G346" i="37"/>
  <c r="G350" i="37"/>
  <c r="G354" i="37"/>
  <c r="G296" i="37"/>
  <c r="G324" i="37"/>
  <c r="G336" i="37"/>
  <c r="G348" i="37"/>
  <c r="G356" i="37"/>
  <c r="G295" i="37"/>
  <c r="G305" i="37"/>
  <c r="G309" i="37"/>
  <c r="G313" i="37"/>
  <c r="G323" i="37"/>
  <c r="G327" i="37"/>
  <c r="G331" i="37"/>
  <c r="G335" i="37"/>
  <c r="G339" i="37"/>
  <c r="G343" i="37"/>
  <c r="G347" i="37"/>
  <c r="G351" i="37"/>
  <c r="G355" i="37"/>
  <c r="G290" i="37"/>
  <c r="G386" i="37"/>
  <c r="G398" i="37"/>
  <c r="G383" i="37"/>
  <c r="G387" i="37"/>
  <c r="G391" i="37"/>
  <c r="G395" i="37"/>
  <c r="G399" i="37"/>
  <c r="G403" i="37"/>
  <c r="G407" i="37"/>
  <c r="G411" i="37"/>
  <c r="G394" i="37"/>
  <c r="G406" i="37"/>
  <c r="G410" i="37"/>
  <c r="G384" i="37"/>
  <c r="G388" i="37"/>
  <c r="G392" i="37"/>
  <c r="G396" i="37"/>
  <c r="G400" i="37"/>
  <c r="G404" i="37"/>
  <c r="G408" i="37"/>
  <c r="G412" i="37"/>
  <c r="G390" i="37"/>
  <c r="G402" i="37"/>
  <c r="G289" i="37"/>
  <c r="G385" i="37"/>
  <c r="G389" i="37"/>
  <c r="G393" i="37"/>
  <c r="G397" i="37"/>
  <c r="G401" i="37"/>
  <c r="G405" i="37"/>
  <c r="G409" i="37"/>
  <c r="G413" i="37"/>
  <c r="G370" i="37"/>
  <c r="G363" i="37"/>
  <c r="G367" i="37"/>
  <c r="G371" i="37"/>
  <c r="G375" i="37"/>
  <c r="G379" i="37"/>
  <c r="G366" i="37"/>
  <c r="G378" i="37"/>
  <c r="G358" i="37"/>
  <c r="G364" i="37"/>
  <c r="G368" i="37"/>
  <c r="G372" i="37"/>
  <c r="G376" i="37"/>
  <c r="G380" i="37"/>
  <c r="G362" i="37"/>
  <c r="G374" i="37"/>
  <c r="G382" i="37"/>
  <c r="G359" i="37"/>
  <c r="G365" i="37"/>
  <c r="G369" i="37"/>
  <c r="G373" i="37"/>
  <c r="G377" i="37"/>
  <c r="G381" i="37"/>
  <c r="C40" i="46"/>
  <c r="C47" i="46"/>
  <c r="C41" i="46"/>
  <c r="C48" i="46"/>
  <c r="C49" i="46"/>
  <c r="C42" i="46"/>
  <c r="C43" i="46"/>
  <c r="C50" i="46"/>
  <c r="C51" i="46"/>
  <c r="C44" i="46"/>
  <c r="C45" i="46"/>
  <c r="C52" i="46"/>
  <c r="C53" i="46"/>
  <c r="C46" i="46"/>
  <c r="C54" i="46"/>
  <c r="D31" i="46"/>
  <c r="C11" i="46"/>
  <c r="C14" i="46"/>
  <c r="C7" i="46"/>
  <c r="C10" i="46"/>
  <c r="C8" i="46"/>
  <c r="C12" i="46"/>
  <c r="C13" i="46"/>
  <c r="C9" i="46"/>
  <c r="C39" i="46"/>
  <c r="E13" i="40"/>
  <c r="A14" i="40"/>
  <c r="H140" i="37"/>
  <c r="H135" i="37"/>
  <c r="H145" i="37"/>
  <c r="H149" i="37"/>
  <c r="H148" i="37"/>
  <c r="H134" i="37"/>
  <c r="H137" i="37"/>
  <c r="H143" i="37"/>
  <c r="H136" i="37"/>
  <c r="H142" i="37"/>
  <c r="H133" i="37"/>
  <c r="H147" i="37"/>
  <c r="H146" i="37"/>
  <c r="H132" i="37"/>
  <c r="H138" i="37"/>
  <c r="H144" i="37"/>
  <c r="H139" i="37"/>
  <c r="H141" i="37"/>
  <c r="H176" i="37"/>
  <c r="H180" i="37"/>
  <c r="H184" i="37"/>
  <c r="H188" i="37"/>
  <c r="H192" i="37"/>
  <c r="H197" i="37"/>
  <c r="H201" i="37"/>
  <c r="H205" i="37"/>
  <c r="H209" i="37"/>
  <c r="H213" i="37"/>
  <c r="H217" i="37"/>
  <c r="H362" i="37"/>
  <c r="H366" i="37"/>
  <c r="H370" i="37"/>
  <c r="H374" i="37"/>
  <c r="H378" i="37"/>
  <c r="H382" i="37"/>
  <c r="AV382" i="37" s="1"/>
  <c r="H386" i="37"/>
  <c r="H390" i="37"/>
  <c r="H394" i="37"/>
  <c r="H398" i="37"/>
  <c r="H402" i="37"/>
  <c r="H406" i="37"/>
  <c r="H410" i="37"/>
  <c r="H464" i="37"/>
  <c r="H468" i="37"/>
  <c r="AV356" i="37"/>
  <c r="AV352" i="37"/>
  <c r="AV348" i="37"/>
  <c r="AV344" i="37"/>
  <c r="AV340" i="37"/>
  <c r="AV336" i="37"/>
  <c r="AV332" i="37"/>
  <c r="AV328" i="37"/>
  <c r="AV290" i="37"/>
  <c r="AV355" i="37"/>
  <c r="AV351" i="37"/>
  <c r="AV347" i="37"/>
  <c r="AV343" i="37"/>
  <c r="AV339" i="37"/>
  <c r="AV335" i="37"/>
  <c r="AV331" i="37"/>
  <c r="AV327" i="37"/>
  <c r="AV289" i="37"/>
  <c r="AV354" i="37"/>
  <c r="AV350" i="37"/>
  <c r="AV346" i="37"/>
  <c r="AV342" i="37"/>
  <c r="AV338" i="37"/>
  <c r="AV334" i="37"/>
  <c r="AV330" i="37"/>
  <c r="AV326" i="37"/>
  <c r="AV345" i="37"/>
  <c r="AV329" i="37"/>
  <c r="AV341" i="37"/>
  <c r="AV325" i="37"/>
  <c r="AV333" i="37"/>
  <c r="AV353" i="37"/>
  <c r="AV337" i="37"/>
  <c r="AV349" i="37"/>
  <c r="H177" i="37"/>
  <c r="H181" i="37"/>
  <c r="H185" i="37"/>
  <c r="H189" i="37"/>
  <c r="H193" i="37"/>
  <c r="H198" i="37"/>
  <c r="H202" i="37"/>
  <c r="H206" i="37"/>
  <c r="H210" i="37"/>
  <c r="H214" i="37"/>
  <c r="H218" i="37"/>
  <c r="H363" i="37"/>
  <c r="H367" i="37"/>
  <c r="H371" i="37"/>
  <c r="H375" i="37"/>
  <c r="H379" i="37"/>
  <c r="H383" i="37"/>
  <c r="H387" i="37"/>
  <c r="H391" i="37"/>
  <c r="H395" i="37"/>
  <c r="H399" i="37"/>
  <c r="H403" i="37"/>
  <c r="H407" i="37"/>
  <c r="H411" i="37"/>
  <c r="H465" i="37"/>
  <c r="H469" i="37"/>
  <c r="H174" i="37"/>
  <c r="H178" i="37"/>
  <c r="H182" i="37"/>
  <c r="H186" i="37"/>
  <c r="H190" i="37"/>
  <c r="H194" i="37"/>
  <c r="H199" i="37"/>
  <c r="H203" i="37"/>
  <c r="H207" i="37"/>
  <c r="H211" i="37"/>
  <c r="H215" i="37"/>
  <c r="H358" i="37"/>
  <c r="H364" i="37"/>
  <c r="H368" i="37"/>
  <c r="H372" i="37"/>
  <c r="H376" i="37"/>
  <c r="H380" i="37"/>
  <c r="H384" i="37"/>
  <c r="H388" i="37"/>
  <c r="H392" i="37"/>
  <c r="H396" i="37"/>
  <c r="H400" i="37"/>
  <c r="H404" i="37"/>
  <c r="H408" i="37"/>
  <c r="H412" i="37"/>
  <c r="H458" i="37"/>
  <c r="H466" i="37"/>
  <c r="H462" i="37"/>
  <c r="H175" i="37"/>
  <c r="H179" i="37"/>
  <c r="H183" i="37"/>
  <c r="H187" i="37"/>
  <c r="H191" i="37"/>
  <c r="H195" i="37"/>
  <c r="H200" i="37"/>
  <c r="H204" i="37"/>
  <c r="H208" i="37"/>
  <c r="H212" i="37"/>
  <c r="H216" i="37"/>
  <c r="H359" i="37"/>
  <c r="H365" i="37"/>
  <c r="H369" i="37"/>
  <c r="H373" i="37"/>
  <c r="H377" i="37"/>
  <c r="H381" i="37"/>
  <c r="H385" i="37"/>
  <c r="H389" i="37"/>
  <c r="H393" i="37"/>
  <c r="H397" i="37"/>
  <c r="H401" i="37"/>
  <c r="H405" i="37"/>
  <c r="H409" i="37"/>
  <c r="H413" i="37"/>
  <c r="H459" i="37"/>
  <c r="H467" i="37"/>
  <c r="H463" i="37"/>
  <c r="C14" i="40"/>
  <c r="D13" i="40"/>
  <c r="C13" i="40"/>
  <c r="F13" i="40"/>
  <c r="B16" i="40"/>
  <c r="E16" i="40" s="1"/>
  <c r="J44" i="41"/>
  <c r="BO463" i="37"/>
  <c r="BP463" i="37" s="1"/>
  <c r="BL463" i="37"/>
  <c r="BN463" i="37" s="1"/>
  <c r="BI463" i="37"/>
  <c r="BK463" i="37" s="1"/>
  <c r="BF463" i="37"/>
  <c r="BH463" i="37" s="1"/>
  <c r="BC463" i="37"/>
  <c r="BD463" i="37" s="1"/>
  <c r="AZ463" i="37"/>
  <c r="BB463" i="37" s="1"/>
  <c r="AY463" i="37"/>
  <c r="Z463" i="37"/>
  <c r="BO462" i="37"/>
  <c r="BP462" i="37" s="1"/>
  <c r="BL462" i="37"/>
  <c r="BN462" i="37" s="1"/>
  <c r="BI462" i="37"/>
  <c r="BK462" i="37" s="1"/>
  <c r="BF462" i="37"/>
  <c r="BG462" i="37" s="1"/>
  <c r="BC462" i="37"/>
  <c r="BE462" i="37" s="1"/>
  <c r="AZ462" i="37"/>
  <c r="BB462" i="37" s="1"/>
  <c r="AY462" i="37"/>
  <c r="Z462" i="37"/>
  <c r="BO461" i="37"/>
  <c r="BQ461" i="37" s="1"/>
  <c r="BL461" i="37"/>
  <c r="BM461" i="37" s="1"/>
  <c r="BI461" i="37"/>
  <c r="BK461" i="37" s="1"/>
  <c r="BF461" i="37"/>
  <c r="BG461" i="37" s="1"/>
  <c r="BC461" i="37"/>
  <c r="BE461" i="37" s="1"/>
  <c r="AZ461" i="37"/>
  <c r="BA461" i="37" s="1"/>
  <c r="AY461" i="37"/>
  <c r="Z461" i="37"/>
  <c r="H461" i="37"/>
  <c r="BO460" i="37"/>
  <c r="BQ460" i="37" s="1"/>
  <c r="BL460" i="37"/>
  <c r="BM460" i="37" s="1"/>
  <c r="BI460" i="37"/>
  <c r="BK460" i="37" s="1"/>
  <c r="BF460" i="37"/>
  <c r="BG460" i="37" s="1"/>
  <c r="BC460" i="37"/>
  <c r="BE460" i="37" s="1"/>
  <c r="AZ460" i="37"/>
  <c r="BA460" i="37" s="1"/>
  <c r="AY460" i="37"/>
  <c r="Z460" i="37"/>
  <c r="H460" i="37"/>
  <c r="BO469" i="37"/>
  <c r="BQ469" i="37" s="1"/>
  <c r="BL469" i="37"/>
  <c r="BM469" i="37" s="1"/>
  <c r="BI469" i="37"/>
  <c r="BK469" i="37" s="1"/>
  <c r="BF469" i="37"/>
  <c r="BG469" i="37" s="1"/>
  <c r="BC469" i="37"/>
  <c r="BE469" i="37" s="1"/>
  <c r="AZ469" i="37"/>
  <c r="BA469" i="37" s="1"/>
  <c r="AY469" i="37"/>
  <c r="Z469" i="37"/>
  <c r="BO468" i="37"/>
  <c r="BQ468" i="37" s="1"/>
  <c r="BL468" i="37"/>
  <c r="BM468" i="37" s="1"/>
  <c r="BI468" i="37"/>
  <c r="BK468" i="37" s="1"/>
  <c r="BF468" i="37"/>
  <c r="BG468" i="37" s="1"/>
  <c r="BC468" i="37"/>
  <c r="BE468" i="37" s="1"/>
  <c r="AZ468" i="37"/>
  <c r="BA468" i="37" s="1"/>
  <c r="AY468" i="37"/>
  <c r="Z468" i="37"/>
  <c r="BO467" i="37"/>
  <c r="BQ467" i="37" s="1"/>
  <c r="BL467" i="37"/>
  <c r="BM467" i="37" s="1"/>
  <c r="BI467" i="37"/>
  <c r="BK467" i="37" s="1"/>
  <c r="BF467" i="37"/>
  <c r="BG467" i="37" s="1"/>
  <c r="BC467" i="37"/>
  <c r="BE467" i="37" s="1"/>
  <c r="AZ467" i="37"/>
  <c r="BA467" i="37" s="1"/>
  <c r="AY467" i="37"/>
  <c r="Z467" i="37"/>
  <c r="BO466" i="37"/>
  <c r="BQ466" i="37" s="1"/>
  <c r="BL466" i="37"/>
  <c r="BM466" i="37" s="1"/>
  <c r="BI466" i="37"/>
  <c r="BK466" i="37" s="1"/>
  <c r="BF466" i="37"/>
  <c r="BG466" i="37" s="1"/>
  <c r="BC466" i="37"/>
  <c r="BE466" i="37" s="1"/>
  <c r="AZ466" i="37"/>
  <c r="BA466" i="37" s="1"/>
  <c r="AY466" i="37"/>
  <c r="Z466" i="37"/>
  <c r="BO465" i="37"/>
  <c r="BQ465" i="37" s="1"/>
  <c r="BL465" i="37"/>
  <c r="BM465" i="37" s="1"/>
  <c r="BI465" i="37"/>
  <c r="BJ465" i="37" s="1"/>
  <c r="BF465" i="37"/>
  <c r="BG465" i="37" s="1"/>
  <c r="BC465" i="37"/>
  <c r="BE465" i="37" s="1"/>
  <c r="AZ465" i="37"/>
  <c r="BA465" i="37" s="1"/>
  <c r="AY465" i="37"/>
  <c r="Z465" i="37"/>
  <c r="BO464" i="37"/>
  <c r="BQ464" i="37" s="1"/>
  <c r="BL464" i="37"/>
  <c r="BM464" i="37" s="1"/>
  <c r="BI464" i="37"/>
  <c r="BK464" i="37" s="1"/>
  <c r="BF464" i="37"/>
  <c r="BG464" i="37" s="1"/>
  <c r="BC464" i="37"/>
  <c r="BD464" i="37" s="1"/>
  <c r="AZ464" i="37"/>
  <c r="BA464" i="37" s="1"/>
  <c r="AY464" i="37"/>
  <c r="Z464" i="37"/>
  <c r="BO459" i="37"/>
  <c r="BQ459" i="37" s="1"/>
  <c r="BL459" i="37"/>
  <c r="BM459" i="37" s="1"/>
  <c r="BI459" i="37"/>
  <c r="BK459" i="37" s="1"/>
  <c r="BF459" i="37"/>
  <c r="BG459" i="37" s="1"/>
  <c r="BC459" i="37"/>
  <c r="BE459" i="37" s="1"/>
  <c r="AZ459" i="37"/>
  <c r="BA459" i="37" s="1"/>
  <c r="AY459" i="37"/>
  <c r="Z459" i="37"/>
  <c r="BO486" i="37"/>
  <c r="BQ486" i="37" s="1"/>
  <c r="BL486" i="37"/>
  <c r="BM486" i="37" s="1"/>
  <c r="BI486" i="37"/>
  <c r="BK486" i="37" s="1"/>
  <c r="BF486" i="37"/>
  <c r="BG486" i="37" s="1"/>
  <c r="BC486" i="37"/>
  <c r="BE486" i="37" s="1"/>
  <c r="AZ486" i="37"/>
  <c r="BA486" i="37" s="1"/>
  <c r="AY486" i="37"/>
  <c r="Z486" i="37"/>
  <c r="BO482" i="37"/>
  <c r="BQ482" i="37" s="1"/>
  <c r="BL482" i="37"/>
  <c r="BM482" i="37" s="1"/>
  <c r="BI482" i="37"/>
  <c r="BJ482" i="37" s="1"/>
  <c r="BF482" i="37"/>
  <c r="BG482" i="37" s="1"/>
  <c r="BC482" i="37"/>
  <c r="BE482" i="37" s="1"/>
  <c r="AZ482" i="37"/>
  <c r="BA482" i="37" s="1"/>
  <c r="AY482" i="37"/>
  <c r="Z482" i="37"/>
  <c r="BO478" i="37"/>
  <c r="BP478" i="37" s="1"/>
  <c r="BL478" i="37"/>
  <c r="BN478" i="37" s="1"/>
  <c r="BI478" i="37"/>
  <c r="BJ478" i="37" s="1"/>
  <c r="BF478" i="37"/>
  <c r="BH478" i="37" s="1"/>
  <c r="BC478" i="37"/>
  <c r="BD478" i="37" s="1"/>
  <c r="AZ478" i="37"/>
  <c r="BA478" i="37" s="1"/>
  <c r="AY478" i="37"/>
  <c r="Z478" i="37"/>
  <c r="BO473" i="37"/>
  <c r="BQ473" i="37" s="1"/>
  <c r="BL473" i="37"/>
  <c r="BM473" i="37" s="1"/>
  <c r="BI473" i="37"/>
  <c r="BK473" i="37" s="1"/>
  <c r="BF473" i="37"/>
  <c r="BH473" i="37" s="1"/>
  <c r="BC473" i="37"/>
  <c r="BE473" i="37" s="1"/>
  <c r="AZ473" i="37"/>
  <c r="BA473" i="37" s="1"/>
  <c r="AY473" i="37"/>
  <c r="Z473" i="37"/>
  <c r="X473" i="37"/>
  <c r="A473" i="37" s="1"/>
  <c r="BO499" i="37"/>
  <c r="BQ499" i="37" s="1"/>
  <c r="BL499" i="37"/>
  <c r="BN499" i="37" s="1"/>
  <c r="BI499" i="37"/>
  <c r="BK499" i="37" s="1"/>
  <c r="BF499" i="37"/>
  <c r="BG499" i="37" s="1"/>
  <c r="BC499" i="37"/>
  <c r="BE499" i="37" s="1"/>
  <c r="AZ499" i="37"/>
  <c r="BB499" i="37" s="1"/>
  <c r="AY499" i="37"/>
  <c r="Z499" i="37"/>
  <c r="X499" i="37"/>
  <c r="BO502" i="37"/>
  <c r="BQ502" i="37" s="1"/>
  <c r="BL502" i="37"/>
  <c r="BM502" i="37" s="1"/>
  <c r="BI502" i="37"/>
  <c r="BK502" i="37" s="1"/>
  <c r="BF502" i="37"/>
  <c r="BH502" i="37" s="1"/>
  <c r="BC502" i="37"/>
  <c r="BE502" i="37" s="1"/>
  <c r="AZ502" i="37"/>
  <c r="BA502" i="37" s="1"/>
  <c r="AY502" i="37"/>
  <c r="Z502" i="37"/>
  <c r="X502" i="37"/>
  <c r="BO501" i="37"/>
  <c r="BQ501" i="37" s="1"/>
  <c r="BL501" i="37"/>
  <c r="BN501" i="37" s="1"/>
  <c r="BI501" i="37"/>
  <c r="BK501" i="37" s="1"/>
  <c r="BF501" i="37"/>
  <c r="BG501" i="37" s="1"/>
  <c r="BC501" i="37"/>
  <c r="BE501" i="37" s="1"/>
  <c r="AZ501" i="37"/>
  <c r="BB501" i="37" s="1"/>
  <c r="AY501" i="37"/>
  <c r="Z501" i="37"/>
  <c r="X501" i="37"/>
  <c r="BO458" i="37"/>
  <c r="BQ458" i="37" s="1"/>
  <c r="BL458" i="37"/>
  <c r="BN458" i="37" s="1"/>
  <c r="BI458" i="37"/>
  <c r="BJ458" i="37" s="1"/>
  <c r="BF458" i="37"/>
  <c r="BH458" i="37" s="1"/>
  <c r="BC458" i="37"/>
  <c r="BE458" i="37" s="1"/>
  <c r="AZ458" i="37"/>
  <c r="BB458" i="37" s="1"/>
  <c r="AY458" i="37"/>
  <c r="Z458" i="37"/>
  <c r="BO504" i="37"/>
  <c r="BP504" i="37" s="1"/>
  <c r="BL504" i="37"/>
  <c r="BM504" i="37" s="1"/>
  <c r="BI504" i="37"/>
  <c r="BK504" i="37" s="1"/>
  <c r="BF504" i="37"/>
  <c r="BH504" i="37" s="1"/>
  <c r="BC504" i="37"/>
  <c r="BD504" i="37" s="1"/>
  <c r="AZ504" i="37"/>
  <c r="BB504" i="37" s="1"/>
  <c r="AY504" i="37"/>
  <c r="Z504" i="37"/>
  <c r="BO503" i="37"/>
  <c r="BQ503" i="37" s="1"/>
  <c r="BL503" i="37"/>
  <c r="BN503" i="37" s="1"/>
  <c r="BI503" i="37"/>
  <c r="BJ503" i="37" s="1"/>
  <c r="BF503" i="37"/>
  <c r="BH503" i="37" s="1"/>
  <c r="BC503" i="37"/>
  <c r="BE503" i="37" s="1"/>
  <c r="AZ503" i="37"/>
  <c r="BB503" i="37" s="1"/>
  <c r="AY503" i="37"/>
  <c r="Z503" i="37"/>
  <c r="BO474" i="37"/>
  <c r="BQ474" i="37" s="1"/>
  <c r="BL474" i="37"/>
  <c r="BM474" i="37" s="1"/>
  <c r="BI474" i="37"/>
  <c r="BJ474" i="37" s="1"/>
  <c r="BF474" i="37"/>
  <c r="BH474" i="37" s="1"/>
  <c r="BC474" i="37"/>
  <c r="BE474" i="37" s="1"/>
  <c r="AZ474" i="37"/>
  <c r="BA474" i="37" s="1"/>
  <c r="AY474" i="37"/>
  <c r="Z474" i="37"/>
  <c r="BO498" i="37"/>
  <c r="BQ498" i="37" s="1"/>
  <c r="BL498" i="37"/>
  <c r="BN498" i="37" s="1"/>
  <c r="BI498" i="37"/>
  <c r="BK498" i="37" s="1"/>
  <c r="BF498" i="37"/>
  <c r="BG498" i="37" s="1"/>
  <c r="BC498" i="37"/>
  <c r="BE498" i="37" s="1"/>
  <c r="AZ498" i="37"/>
  <c r="BB498" i="37" s="1"/>
  <c r="AY498" i="37"/>
  <c r="Z498" i="37"/>
  <c r="BO496" i="37"/>
  <c r="BP496" i="37" s="1"/>
  <c r="BL496" i="37"/>
  <c r="BN496" i="37" s="1"/>
  <c r="BI496" i="37"/>
  <c r="BK496" i="37" s="1"/>
  <c r="BF496" i="37"/>
  <c r="BG496" i="37" s="1"/>
  <c r="BC496" i="37"/>
  <c r="BE496" i="37" s="1"/>
  <c r="AZ496" i="37"/>
  <c r="BB496" i="37" s="1"/>
  <c r="AY496" i="37"/>
  <c r="Z496" i="37"/>
  <c r="X496" i="37"/>
  <c r="V119" i="34"/>
  <c r="Q119" i="34"/>
  <c r="P119" i="34"/>
  <c r="O119" i="34"/>
  <c r="AV453" i="37" l="1"/>
  <c r="AV431" i="37"/>
  <c r="AV455" i="37"/>
  <c r="AV445" i="37"/>
  <c r="AV449" i="37"/>
  <c r="AV433" i="37"/>
  <c r="AV429" i="37"/>
  <c r="AV447" i="37"/>
  <c r="AV437" i="37"/>
  <c r="AV435" i="37"/>
  <c r="AV427" i="37"/>
  <c r="AV451" i="37"/>
  <c r="AV440" i="37"/>
  <c r="AV450" i="37"/>
  <c r="AV454" i="37"/>
  <c r="AV444" i="37"/>
  <c r="AV428" i="37"/>
  <c r="AV443" i="37"/>
  <c r="AV430" i="37"/>
  <c r="AV441" i="37"/>
  <c r="AV446" i="37"/>
  <c r="AV432" i="37"/>
  <c r="AV452" i="37"/>
  <c r="AV434" i="37"/>
  <c r="AV448" i="37"/>
  <c r="AV436" i="37"/>
  <c r="AV456" i="37"/>
  <c r="AV438" i="37"/>
  <c r="G474" i="37"/>
  <c r="W474" i="37"/>
  <c r="G502" i="37"/>
  <c r="W502" i="37"/>
  <c r="G482" i="37"/>
  <c r="G503" i="37"/>
  <c r="W503" i="37"/>
  <c r="G499" i="37"/>
  <c r="W499" i="37"/>
  <c r="G486" i="37"/>
  <c r="W486" i="37"/>
  <c r="G496" i="37"/>
  <c r="W496" i="37"/>
  <c r="G504" i="37"/>
  <c r="W504" i="37"/>
  <c r="G473" i="37"/>
  <c r="W473" i="37"/>
  <c r="G498" i="37"/>
  <c r="W498" i="37"/>
  <c r="G501" i="37"/>
  <c r="W501" i="37"/>
  <c r="G478" i="37"/>
  <c r="W478" i="37"/>
  <c r="C31" i="46"/>
  <c r="D32" i="46"/>
  <c r="A18" i="40"/>
  <c r="E14" i="40"/>
  <c r="F16" i="40"/>
  <c r="D16" i="40"/>
  <c r="C16" i="40"/>
  <c r="F14" i="40"/>
  <c r="D14" i="40"/>
  <c r="B17" i="40"/>
  <c r="E17" i="40" s="1"/>
  <c r="C356" i="37"/>
  <c r="C352" i="37"/>
  <c r="C348" i="37"/>
  <c r="C344" i="37"/>
  <c r="C340" i="37"/>
  <c r="C336" i="37"/>
  <c r="C332" i="37"/>
  <c r="C328" i="37"/>
  <c r="C324" i="37"/>
  <c r="C314" i="37"/>
  <c r="C310" i="37"/>
  <c r="C306" i="37"/>
  <c r="C296" i="37"/>
  <c r="C290" i="37"/>
  <c r="C289" i="37"/>
  <c r="C341" i="37"/>
  <c r="C325" i="37"/>
  <c r="C297" i="37"/>
  <c r="C355" i="37"/>
  <c r="C351" i="37"/>
  <c r="C347" i="37"/>
  <c r="C343" i="37"/>
  <c r="C339" i="37"/>
  <c r="C335" i="37"/>
  <c r="C331" i="37"/>
  <c r="C327" i="37"/>
  <c r="C323" i="37"/>
  <c r="C313" i="37"/>
  <c r="C309" i="37"/>
  <c r="C305" i="37"/>
  <c r="C295" i="37"/>
  <c r="C345" i="37"/>
  <c r="C329" i="37"/>
  <c r="C311" i="37"/>
  <c r="C354" i="37"/>
  <c r="C350" i="37"/>
  <c r="C346" i="37"/>
  <c r="C342" i="37"/>
  <c r="C338" i="37"/>
  <c r="C334" i="37"/>
  <c r="C330" i="37"/>
  <c r="C326" i="37"/>
  <c r="C322" i="37"/>
  <c r="C312" i="37"/>
  <c r="C308" i="37"/>
  <c r="C298" i="37"/>
  <c r="C294" i="37"/>
  <c r="C353" i="37"/>
  <c r="C349" i="37"/>
  <c r="C337" i="37"/>
  <c r="C333" i="37"/>
  <c r="C321" i="37"/>
  <c r="C307" i="37"/>
  <c r="C293" i="37"/>
  <c r="AV482" i="37"/>
  <c r="AV478" i="37"/>
  <c r="BE464" i="37"/>
  <c r="BK465" i="37"/>
  <c r="BB459" i="37"/>
  <c r="BD482" i="37"/>
  <c r="BN459" i="37"/>
  <c r="BD465" i="37"/>
  <c r="BB461" i="37"/>
  <c r="BD462" i="37"/>
  <c r="BM463" i="37"/>
  <c r="BP482" i="37"/>
  <c r="BP464" i="37"/>
  <c r="BN461" i="37"/>
  <c r="BB478" i="37"/>
  <c r="BE463" i="37"/>
  <c r="BK482" i="37"/>
  <c r="BP465" i="37"/>
  <c r="BQ462" i="37"/>
  <c r="BJ464" i="37"/>
  <c r="BN473" i="37"/>
  <c r="BQ478" i="37"/>
  <c r="BH486" i="37"/>
  <c r="BJ459" i="37"/>
  <c r="BH466" i="37"/>
  <c r="BB467" i="37"/>
  <c r="BN467" i="37"/>
  <c r="BH468" i="37"/>
  <c r="BB469" i="37"/>
  <c r="BN469" i="37"/>
  <c r="BH460" i="37"/>
  <c r="BJ461" i="37"/>
  <c r="BA463" i="37"/>
  <c r="BB473" i="37"/>
  <c r="BJ473" i="37"/>
  <c r="BE478" i="37"/>
  <c r="BM478" i="37"/>
  <c r="BB482" i="37"/>
  <c r="BN482" i="37"/>
  <c r="BD486" i="37"/>
  <c r="BP486" i="37"/>
  <c r="BD459" i="37"/>
  <c r="BP459" i="37"/>
  <c r="BB465" i="37"/>
  <c r="BN465" i="37"/>
  <c r="BD466" i="37"/>
  <c r="BP466" i="37"/>
  <c r="BJ467" i="37"/>
  <c r="BD468" i="37"/>
  <c r="BP468" i="37"/>
  <c r="BJ469" i="37"/>
  <c r="BD460" i="37"/>
  <c r="BP460" i="37"/>
  <c r="BD461" i="37"/>
  <c r="BP461" i="37"/>
  <c r="BJ486" i="37"/>
  <c r="BH464" i="37"/>
  <c r="BJ466" i="37"/>
  <c r="BD467" i="37"/>
  <c r="BP467" i="37"/>
  <c r="BJ468" i="37"/>
  <c r="BD469" i="37"/>
  <c r="BP469" i="37"/>
  <c r="BJ460" i="37"/>
  <c r="BH462" i="37"/>
  <c r="BQ463" i="37"/>
  <c r="BJ463" i="37"/>
  <c r="BG463" i="37"/>
  <c r="BA462" i="37"/>
  <c r="BM462" i="37"/>
  <c r="BJ462" i="37"/>
  <c r="BH459" i="37"/>
  <c r="BB464" i="37"/>
  <c r="BN464" i="37"/>
  <c r="BH465" i="37"/>
  <c r="BB466" i="37"/>
  <c r="BN466" i="37"/>
  <c r="BH467" i="37"/>
  <c r="BB468" i="37"/>
  <c r="BN468" i="37"/>
  <c r="BH469" i="37"/>
  <c r="BB460" i="37"/>
  <c r="BN460" i="37"/>
  <c r="BH461" i="37"/>
  <c r="BH482" i="37"/>
  <c r="BB486" i="37"/>
  <c r="BN486" i="37"/>
  <c r="BD499" i="37"/>
  <c r="BG478" i="37"/>
  <c r="BK478" i="37"/>
  <c r="BG473" i="37"/>
  <c r="BD473" i="37"/>
  <c r="BP473" i="37"/>
  <c r="BN504" i="37"/>
  <c r="BH501" i="37"/>
  <c r="BB502" i="37"/>
  <c r="BJ502" i="37"/>
  <c r="BH499" i="37"/>
  <c r="BP499" i="37"/>
  <c r="BP501" i="37"/>
  <c r="BG503" i="37"/>
  <c r="BA499" i="37"/>
  <c r="BM499" i="37"/>
  <c r="BJ499" i="37"/>
  <c r="BQ504" i="37"/>
  <c r="BG458" i="37"/>
  <c r="BD501" i="37"/>
  <c r="BE504" i="37"/>
  <c r="BN502" i="37"/>
  <c r="BA501" i="37"/>
  <c r="BM501" i="37"/>
  <c r="BG502" i="37"/>
  <c r="BJ501" i="37"/>
  <c r="BD502" i="37"/>
  <c r="BP502" i="37"/>
  <c r="BA504" i="37"/>
  <c r="BK503" i="37"/>
  <c r="BK458" i="37"/>
  <c r="BD503" i="37"/>
  <c r="BP503" i="37"/>
  <c r="BJ504" i="37"/>
  <c r="BD458" i="37"/>
  <c r="BP458" i="37"/>
  <c r="BA503" i="37"/>
  <c r="BM503" i="37"/>
  <c r="BG504" i="37"/>
  <c r="BA458" i="37"/>
  <c r="BM458" i="37"/>
  <c r="BP498" i="37"/>
  <c r="BH496" i="37"/>
  <c r="BH498" i="37"/>
  <c r="BD498" i="37"/>
  <c r="BN474" i="37"/>
  <c r="BK474" i="37"/>
  <c r="BB474" i="37"/>
  <c r="BG474" i="37"/>
  <c r="BD474" i="37"/>
  <c r="BP474" i="37"/>
  <c r="BQ496" i="37"/>
  <c r="BA498" i="37"/>
  <c r="BM498" i="37"/>
  <c r="BJ498" i="37"/>
  <c r="BD496" i="37"/>
  <c r="BA496" i="37"/>
  <c r="BM496" i="37"/>
  <c r="BJ496" i="37"/>
  <c r="BO497" i="37"/>
  <c r="BQ497" i="37" s="1"/>
  <c r="BL497" i="37"/>
  <c r="BN497" i="37" s="1"/>
  <c r="BI497" i="37"/>
  <c r="BK497" i="37" s="1"/>
  <c r="BF497" i="37"/>
  <c r="BH497" i="37" s="1"/>
  <c r="BC497" i="37"/>
  <c r="BD497" i="37" s="1"/>
  <c r="AZ497" i="37"/>
  <c r="BB497" i="37" s="1"/>
  <c r="AY497" i="37"/>
  <c r="Z497" i="37"/>
  <c r="BO472" i="37"/>
  <c r="BQ472" i="37" s="1"/>
  <c r="BL472" i="37"/>
  <c r="BN472" i="37" s="1"/>
  <c r="BI472" i="37"/>
  <c r="BJ472" i="37" s="1"/>
  <c r="BF472" i="37"/>
  <c r="BG472" i="37" s="1"/>
  <c r="BC472" i="37"/>
  <c r="BE472" i="37" s="1"/>
  <c r="AZ472" i="37"/>
  <c r="BB472" i="37" s="1"/>
  <c r="AY472" i="37"/>
  <c r="Z472" i="37"/>
  <c r="X472" i="37"/>
  <c r="A472" i="37" s="1"/>
  <c r="AY415" i="37"/>
  <c r="AZ415" i="37" s="1"/>
  <c r="BA415" i="37" s="1"/>
  <c r="BO442" i="37"/>
  <c r="BP442" i="37" s="1"/>
  <c r="BL442" i="37"/>
  <c r="BN442" i="37" s="1"/>
  <c r="BQ442" i="37" s="1"/>
  <c r="BI442" i="37"/>
  <c r="BJ442" i="37" s="1"/>
  <c r="BF442" i="37"/>
  <c r="BG442" i="37" s="1"/>
  <c r="AY442" i="37"/>
  <c r="AZ442" i="37" s="1"/>
  <c r="BA442" i="37" s="1"/>
  <c r="Z442" i="37"/>
  <c r="BO439" i="37"/>
  <c r="BP439" i="37" s="1"/>
  <c r="BL439" i="37"/>
  <c r="BN439" i="37" s="1"/>
  <c r="BQ439" i="37" s="1"/>
  <c r="BI439" i="37"/>
  <c r="BJ439" i="37" s="1"/>
  <c r="BF439" i="37"/>
  <c r="BH439" i="37" s="1"/>
  <c r="BK439" i="37" s="1"/>
  <c r="AY439" i="37"/>
  <c r="AZ439" i="37" s="1"/>
  <c r="BA439" i="37" s="1"/>
  <c r="Z439" i="37"/>
  <c r="BO424" i="37"/>
  <c r="BP424" i="37" s="1"/>
  <c r="BL424" i="37"/>
  <c r="BM424" i="37" s="1"/>
  <c r="BI424" i="37"/>
  <c r="BJ424" i="37" s="1"/>
  <c r="BF424" i="37"/>
  <c r="BH424" i="37" s="1"/>
  <c r="BK424" i="37" s="1"/>
  <c r="AY424" i="37"/>
  <c r="AZ424" i="37" s="1"/>
  <c r="Z424" i="37"/>
  <c r="BO418" i="37"/>
  <c r="BP418" i="37" s="1"/>
  <c r="BL418" i="37"/>
  <c r="BM418" i="37" s="1"/>
  <c r="BI418" i="37"/>
  <c r="BJ418" i="37" s="1"/>
  <c r="BF418" i="37"/>
  <c r="BG418" i="37" s="1"/>
  <c r="AY418" i="37"/>
  <c r="AZ418" i="37" s="1"/>
  <c r="Z418" i="37"/>
  <c r="X418" i="37"/>
  <c r="BO495" i="37"/>
  <c r="BL495" i="37"/>
  <c r="BM495" i="37" s="1"/>
  <c r="BI495" i="37"/>
  <c r="BK495" i="37" s="1"/>
  <c r="BF495" i="37"/>
  <c r="BH495" i="37" s="1"/>
  <c r="BC495" i="37"/>
  <c r="AZ495" i="37"/>
  <c r="BB495" i="37" s="1"/>
  <c r="AY495" i="37"/>
  <c r="Z495" i="37"/>
  <c r="X495" i="37"/>
  <c r="BO471" i="37"/>
  <c r="BP471" i="37" s="1"/>
  <c r="BL471" i="37"/>
  <c r="BN471" i="37" s="1"/>
  <c r="BI471" i="37"/>
  <c r="BK471" i="37" s="1"/>
  <c r="BF471" i="37"/>
  <c r="BH471" i="37" s="1"/>
  <c r="BC471" i="37"/>
  <c r="BD471" i="37" s="1"/>
  <c r="AZ471" i="37"/>
  <c r="BA471" i="37" s="1"/>
  <c r="AY471" i="37"/>
  <c r="Z471" i="37"/>
  <c r="X471" i="37"/>
  <c r="A471" i="37" s="1"/>
  <c r="BO421" i="37"/>
  <c r="BP421" i="37" s="1"/>
  <c r="BL421" i="37"/>
  <c r="BM421" i="37" s="1"/>
  <c r="BI421" i="37"/>
  <c r="BJ421" i="37" s="1"/>
  <c r="BF421" i="37"/>
  <c r="AY421" i="37"/>
  <c r="AZ421" i="37" s="1"/>
  <c r="Z421" i="37"/>
  <c r="BO415" i="37"/>
  <c r="BP415" i="37" s="1"/>
  <c r="BL415" i="37"/>
  <c r="BN415" i="37" s="1"/>
  <c r="BQ415" i="37" s="1"/>
  <c r="BI415" i="37"/>
  <c r="BJ415" i="37" s="1"/>
  <c r="BF415" i="37"/>
  <c r="BG415" i="37" s="1"/>
  <c r="Z415" i="37"/>
  <c r="BO413" i="37"/>
  <c r="BL413" i="37"/>
  <c r="BN413" i="37" s="1"/>
  <c r="BI413" i="37"/>
  <c r="BK413" i="37" s="1"/>
  <c r="BC413" i="37"/>
  <c r="AZ413" i="37"/>
  <c r="AY413" i="37"/>
  <c r="Z413" i="37"/>
  <c r="BO412" i="37"/>
  <c r="BQ412" i="37" s="1"/>
  <c r="BL412" i="37"/>
  <c r="BI412" i="37"/>
  <c r="BG412" i="37"/>
  <c r="BC412" i="37"/>
  <c r="BD412" i="37" s="1"/>
  <c r="AZ412" i="37"/>
  <c r="AY412" i="37"/>
  <c r="Z412" i="37"/>
  <c r="BO411" i="37"/>
  <c r="BQ411" i="37" s="1"/>
  <c r="BL411" i="37"/>
  <c r="BI411" i="37"/>
  <c r="BJ411" i="37" s="1"/>
  <c r="BC411" i="37"/>
  <c r="BE411" i="37" s="1"/>
  <c r="AZ411" i="37"/>
  <c r="AY411" i="37"/>
  <c r="Z411" i="37"/>
  <c r="BO410" i="37"/>
  <c r="BL410" i="37"/>
  <c r="BM410" i="37" s="1"/>
  <c r="BI410" i="37"/>
  <c r="BJ410" i="37" s="1"/>
  <c r="BC410" i="37"/>
  <c r="AZ410" i="37"/>
  <c r="BA410" i="37" s="1"/>
  <c r="AY410" i="37"/>
  <c r="Z410" i="37"/>
  <c r="BO409" i="37"/>
  <c r="BP409" i="37" s="1"/>
  <c r="BL409" i="37"/>
  <c r="BN409" i="37" s="1"/>
  <c r="BI409" i="37"/>
  <c r="BK409" i="37" s="1"/>
  <c r="BC409" i="37"/>
  <c r="BD409" i="37" s="1"/>
  <c r="AZ409" i="37"/>
  <c r="AY409" i="37"/>
  <c r="Z409" i="37"/>
  <c r="BO408" i="37"/>
  <c r="BL408" i="37"/>
  <c r="BN408" i="37" s="1"/>
  <c r="BI408" i="37"/>
  <c r="BG408" i="37"/>
  <c r="BC408" i="37"/>
  <c r="AZ408" i="37"/>
  <c r="BB408" i="37" s="1"/>
  <c r="AY408" i="37"/>
  <c r="Z408" i="37"/>
  <c r="BO407" i="37"/>
  <c r="BL407" i="37"/>
  <c r="BI407" i="37"/>
  <c r="BJ407" i="37" s="1"/>
  <c r="BG407" i="37"/>
  <c r="BC407" i="37"/>
  <c r="AZ407" i="37"/>
  <c r="AY407" i="37"/>
  <c r="Z407" i="37"/>
  <c r="BO406" i="37"/>
  <c r="BL406" i="37"/>
  <c r="BI406" i="37"/>
  <c r="BJ406" i="37" s="1"/>
  <c r="BH406" i="37"/>
  <c r="BC406" i="37"/>
  <c r="AZ406" i="37"/>
  <c r="AY406" i="37"/>
  <c r="Z406" i="37"/>
  <c r="BO405" i="37"/>
  <c r="BQ405" i="37" s="1"/>
  <c r="BL405" i="37"/>
  <c r="BI405" i="37"/>
  <c r="BK405" i="37" s="1"/>
  <c r="BC405" i="37"/>
  <c r="BE405" i="37" s="1"/>
  <c r="AZ405" i="37"/>
  <c r="BA405" i="37" s="1"/>
  <c r="AY405" i="37"/>
  <c r="Z405" i="37"/>
  <c r="BO404" i="37"/>
  <c r="BP404" i="37" s="1"/>
  <c r="BL404" i="37"/>
  <c r="BI404" i="37"/>
  <c r="BH404" i="37"/>
  <c r="BC404" i="37"/>
  <c r="AZ404" i="37"/>
  <c r="BB404" i="37" s="1"/>
  <c r="AY404" i="37"/>
  <c r="Z404" i="37"/>
  <c r="BO403" i="37"/>
  <c r="BL403" i="37"/>
  <c r="BI403" i="37"/>
  <c r="BK403" i="37" s="1"/>
  <c r="BH403" i="37"/>
  <c r="BC403" i="37"/>
  <c r="AZ403" i="37"/>
  <c r="AY403" i="37"/>
  <c r="Z403" i="37"/>
  <c r="BO402" i="37"/>
  <c r="BL402" i="37"/>
  <c r="BN402" i="37" s="1"/>
  <c r="BI402" i="37"/>
  <c r="BK402" i="37" s="1"/>
  <c r="BC402" i="37"/>
  <c r="AZ402" i="37"/>
  <c r="BB402" i="37" s="1"/>
  <c r="AY402" i="37"/>
  <c r="Z402" i="37"/>
  <c r="BO401" i="37"/>
  <c r="BQ401" i="37" s="1"/>
  <c r="BL401" i="37"/>
  <c r="BI401" i="37"/>
  <c r="BC401" i="37"/>
  <c r="BE401" i="37" s="1"/>
  <c r="AZ401" i="37"/>
  <c r="AY401" i="37"/>
  <c r="Z401" i="37"/>
  <c r="BO400" i="37"/>
  <c r="BP400" i="37" s="1"/>
  <c r="BL400" i="37"/>
  <c r="BI400" i="37"/>
  <c r="BH400" i="37"/>
  <c r="BC400" i="37"/>
  <c r="AZ400" i="37"/>
  <c r="AY400" i="37"/>
  <c r="Z400" i="37"/>
  <c r="BO399" i="37"/>
  <c r="BQ399" i="37" s="1"/>
  <c r="BL399" i="37"/>
  <c r="BI399" i="37"/>
  <c r="BK399" i="37" s="1"/>
  <c r="BG399" i="37"/>
  <c r="BC399" i="37"/>
  <c r="BE399" i="37" s="1"/>
  <c r="AZ399" i="37"/>
  <c r="AY399" i="37"/>
  <c r="Z399" i="37"/>
  <c r="BO398" i="37"/>
  <c r="BL398" i="37"/>
  <c r="BN398" i="37" s="1"/>
  <c r="BI398" i="37"/>
  <c r="BJ398" i="37" s="1"/>
  <c r="BH398" i="37"/>
  <c r="BC398" i="37"/>
  <c r="AZ398" i="37"/>
  <c r="BB398" i="37" s="1"/>
  <c r="AY398" i="37"/>
  <c r="Z398" i="37"/>
  <c r="BO397" i="37"/>
  <c r="BQ397" i="37" s="1"/>
  <c r="BL397" i="37"/>
  <c r="BI397" i="37"/>
  <c r="BK397" i="37" s="1"/>
  <c r="BC397" i="37"/>
  <c r="BE397" i="37" s="1"/>
  <c r="AZ397" i="37"/>
  <c r="BA397" i="37" s="1"/>
  <c r="AY397" i="37"/>
  <c r="Z397" i="37"/>
  <c r="BO396" i="37"/>
  <c r="BL396" i="37"/>
  <c r="BM396" i="37" s="1"/>
  <c r="BI396" i="37"/>
  <c r="BH396" i="37"/>
  <c r="BC396" i="37"/>
  <c r="AZ396" i="37"/>
  <c r="BB396" i="37" s="1"/>
  <c r="AY396" i="37"/>
  <c r="Z396" i="37"/>
  <c r="BO395" i="37"/>
  <c r="BQ395" i="37" s="1"/>
  <c r="BL395" i="37"/>
  <c r="BI395" i="37"/>
  <c r="BK395" i="37" s="1"/>
  <c r="BG395" i="37"/>
  <c r="BC395" i="37"/>
  <c r="BE395" i="37" s="1"/>
  <c r="AZ395" i="37"/>
  <c r="AY395" i="37"/>
  <c r="Z395" i="37"/>
  <c r="BO394" i="37"/>
  <c r="BL394" i="37"/>
  <c r="BN394" i="37" s="1"/>
  <c r="BI394" i="37"/>
  <c r="BJ394" i="37" s="1"/>
  <c r="BG394" i="37"/>
  <c r="BC394" i="37"/>
  <c r="AZ394" i="37"/>
  <c r="BB394" i="37" s="1"/>
  <c r="AY394" i="37"/>
  <c r="Z394" i="37"/>
  <c r="BO393" i="37"/>
  <c r="BQ393" i="37" s="1"/>
  <c r="BL393" i="37"/>
  <c r="BI393" i="37"/>
  <c r="BK393" i="37" s="1"/>
  <c r="BC393" i="37"/>
  <c r="BE393" i="37" s="1"/>
  <c r="AZ393" i="37"/>
  <c r="BA393" i="37" s="1"/>
  <c r="AY393" i="37"/>
  <c r="Z393" i="37"/>
  <c r="BO392" i="37"/>
  <c r="BL392" i="37"/>
  <c r="BN392" i="37" s="1"/>
  <c r="BI392" i="37"/>
  <c r="BH392" i="37"/>
  <c r="BC392" i="37"/>
  <c r="BD392" i="37" s="1"/>
  <c r="AZ392" i="37"/>
  <c r="AY392" i="37"/>
  <c r="Z392" i="37"/>
  <c r="BO391" i="37"/>
  <c r="BP391" i="37" s="1"/>
  <c r="BL391" i="37"/>
  <c r="BI391" i="37"/>
  <c r="BK391" i="37" s="1"/>
  <c r="BG391" i="37"/>
  <c r="BC391" i="37"/>
  <c r="AZ391" i="37"/>
  <c r="AY391" i="37"/>
  <c r="Z391" i="37"/>
  <c r="BO390" i="37"/>
  <c r="BL390" i="37"/>
  <c r="BN390" i="37" s="1"/>
  <c r="BI390" i="37"/>
  <c r="BH390" i="37"/>
  <c r="BC390" i="37"/>
  <c r="AZ390" i="37"/>
  <c r="BB390" i="37" s="1"/>
  <c r="AY390" i="37"/>
  <c r="Z390" i="37"/>
  <c r="BO389" i="37"/>
  <c r="BQ389" i="37" s="1"/>
  <c r="BL389" i="37"/>
  <c r="BI389" i="37"/>
  <c r="BJ389" i="37" s="1"/>
  <c r="BC389" i="37"/>
  <c r="BE389" i="37" s="1"/>
  <c r="AZ389" i="37"/>
  <c r="BA389" i="37" s="1"/>
  <c r="AY389" i="37"/>
  <c r="Z389" i="37"/>
  <c r="BO388" i="37"/>
  <c r="BP388" i="37" s="1"/>
  <c r="BL388" i="37"/>
  <c r="BI388" i="37"/>
  <c r="BH388" i="37"/>
  <c r="BC388" i="37"/>
  <c r="BD388" i="37" s="1"/>
  <c r="AZ388" i="37"/>
  <c r="BA388" i="37" s="1"/>
  <c r="AY388" i="37"/>
  <c r="Z388" i="37"/>
  <c r="BO387" i="37"/>
  <c r="BQ387" i="37" s="1"/>
  <c r="BL387" i="37"/>
  <c r="BI387" i="37"/>
  <c r="BK387" i="37" s="1"/>
  <c r="BC387" i="37"/>
  <c r="BD387" i="37" s="1"/>
  <c r="AZ387" i="37"/>
  <c r="BA387" i="37" s="1"/>
  <c r="AY387" i="37"/>
  <c r="Z387" i="37"/>
  <c r="BO386" i="37"/>
  <c r="BL386" i="37"/>
  <c r="BN386" i="37" s="1"/>
  <c r="BI386" i="37"/>
  <c r="BJ386" i="37" s="1"/>
  <c r="BC386" i="37"/>
  <c r="AZ386" i="37"/>
  <c r="BB386" i="37" s="1"/>
  <c r="AY386" i="37"/>
  <c r="Z386" i="37"/>
  <c r="BO385" i="37"/>
  <c r="BL385" i="37"/>
  <c r="BM385" i="37" s="1"/>
  <c r="BI385" i="37"/>
  <c r="BJ385" i="37" s="1"/>
  <c r="BG385" i="37"/>
  <c r="BC385" i="37"/>
  <c r="BE385" i="37" s="1"/>
  <c r="AZ385" i="37"/>
  <c r="AY385" i="37"/>
  <c r="Z385" i="37"/>
  <c r="BO384" i="37"/>
  <c r="BP384" i="37" s="1"/>
  <c r="BL384" i="37"/>
  <c r="BM384" i="37" s="1"/>
  <c r="BI384" i="37"/>
  <c r="BJ384" i="37" s="1"/>
  <c r="BC384" i="37"/>
  <c r="BD384" i="37" s="1"/>
  <c r="AZ384" i="37"/>
  <c r="BA384" i="37" s="1"/>
  <c r="AY384" i="37"/>
  <c r="Z384" i="37"/>
  <c r="BO383" i="37"/>
  <c r="BP383" i="37" s="1"/>
  <c r="BL383" i="37"/>
  <c r="BN383" i="37" s="1"/>
  <c r="BI383" i="37"/>
  <c r="BG383" i="37"/>
  <c r="BC383" i="37"/>
  <c r="BE383" i="37" s="1"/>
  <c r="AZ383" i="37"/>
  <c r="BB383" i="37" s="1"/>
  <c r="AY383" i="37"/>
  <c r="Z383" i="37"/>
  <c r="BO382" i="37"/>
  <c r="BP382" i="37" s="1"/>
  <c r="BL382" i="37"/>
  <c r="BN382" i="37" s="1"/>
  <c r="BI382" i="37"/>
  <c r="BJ382" i="37" s="1"/>
  <c r="BG382" i="37"/>
  <c r="BC382" i="37"/>
  <c r="BE382" i="37" s="1"/>
  <c r="AZ382" i="37"/>
  <c r="AY382" i="37"/>
  <c r="Z382" i="37"/>
  <c r="BO381" i="37"/>
  <c r="BQ381" i="37" s="1"/>
  <c r="BL381" i="37"/>
  <c r="BI381" i="37"/>
  <c r="BF381" i="37"/>
  <c r="BH381" i="37" s="1"/>
  <c r="BC381" i="37"/>
  <c r="AZ381" i="37"/>
  <c r="BA381" i="37" s="1"/>
  <c r="AY381" i="37"/>
  <c r="Z381" i="37"/>
  <c r="BO380" i="37"/>
  <c r="BP380" i="37" s="1"/>
  <c r="BL380" i="37"/>
  <c r="BN380" i="37" s="1"/>
  <c r="BI380" i="37"/>
  <c r="BK380" i="37" s="1"/>
  <c r="BF380" i="37"/>
  <c r="BH380" i="37" s="1"/>
  <c r="BC380" i="37"/>
  <c r="AZ380" i="37"/>
  <c r="BB380" i="37" s="1"/>
  <c r="AY380" i="37"/>
  <c r="Z380" i="37"/>
  <c r="BO379" i="37"/>
  <c r="BQ379" i="37" s="1"/>
  <c r="BL379" i="37"/>
  <c r="BM379" i="37" s="1"/>
  <c r="BI379" i="37"/>
  <c r="BK379" i="37" s="1"/>
  <c r="BF379" i="37"/>
  <c r="BC379" i="37"/>
  <c r="BE379" i="37" s="1"/>
  <c r="AZ379" i="37"/>
  <c r="BB379" i="37" s="1"/>
  <c r="AY379" i="37"/>
  <c r="Z379" i="37"/>
  <c r="BO378" i="37"/>
  <c r="BL378" i="37"/>
  <c r="BI378" i="37"/>
  <c r="BF378" i="37"/>
  <c r="BH378" i="37" s="1"/>
  <c r="BC378" i="37"/>
  <c r="BE378" i="37" s="1"/>
  <c r="AZ378" i="37"/>
  <c r="BB378" i="37" s="1"/>
  <c r="AY378" i="37"/>
  <c r="Z378" i="37"/>
  <c r="BO377" i="37"/>
  <c r="BP377" i="37" s="1"/>
  <c r="BL377" i="37"/>
  <c r="BM377" i="37" s="1"/>
  <c r="BI377" i="37"/>
  <c r="BK377" i="37" s="1"/>
  <c r="BF377" i="37"/>
  <c r="BH377" i="37" s="1"/>
  <c r="BC377" i="37"/>
  <c r="BE377" i="37" s="1"/>
  <c r="AZ377" i="37"/>
  <c r="BA377" i="37" s="1"/>
  <c r="AY377" i="37"/>
  <c r="Z377" i="37"/>
  <c r="BO376" i="37"/>
  <c r="BL376" i="37"/>
  <c r="BN376" i="37" s="1"/>
  <c r="BI376" i="37"/>
  <c r="BK376" i="37" s="1"/>
  <c r="BF376" i="37"/>
  <c r="BC376" i="37"/>
  <c r="BD376" i="37" s="1"/>
  <c r="AZ376" i="37"/>
  <c r="AY376" i="37"/>
  <c r="Z376" i="37"/>
  <c r="BO375" i="37"/>
  <c r="BQ375" i="37" s="1"/>
  <c r="BL375" i="37"/>
  <c r="BN375" i="37" s="1"/>
  <c r="BI375" i="37"/>
  <c r="BK375" i="37" s="1"/>
  <c r="BF375" i="37"/>
  <c r="BC375" i="37"/>
  <c r="AZ375" i="37"/>
  <c r="BB375" i="37" s="1"/>
  <c r="AY375" i="37"/>
  <c r="Z375" i="37"/>
  <c r="BO374" i="37"/>
  <c r="BQ374" i="37" s="1"/>
  <c r="BL374" i="37"/>
  <c r="BN374" i="37" s="1"/>
  <c r="BI374" i="37"/>
  <c r="BJ374" i="37" s="1"/>
  <c r="BF374" i="37"/>
  <c r="BH374" i="37" s="1"/>
  <c r="BC374" i="37"/>
  <c r="BE374" i="37" s="1"/>
  <c r="AZ374" i="37"/>
  <c r="BB374" i="37" s="1"/>
  <c r="AY374" i="37"/>
  <c r="Z374" i="37"/>
  <c r="BO373" i="37"/>
  <c r="BQ373" i="37" s="1"/>
  <c r="BL373" i="37"/>
  <c r="BM373" i="37" s="1"/>
  <c r="BI373" i="37"/>
  <c r="BK373" i="37" s="1"/>
  <c r="BF373" i="37"/>
  <c r="BH373" i="37" s="1"/>
  <c r="BC373" i="37"/>
  <c r="AZ373" i="37"/>
  <c r="BA373" i="37" s="1"/>
  <c r="AY373" i="37"/>
  <c r="Z373" i="37"/>
  <c r="BO372" i="37"/>
  <c r="BP372" i="37" s="1"/>
  <c r="BL372" i="37"/>
  <c r="BI372" i="37"/>
  <c r="BK372" i="37" s="1"/>
  <c r="BF372" i="37"/>
  <c r="BC372" i="37"/>
  <c r="BD372" i="37" s="1"/>
  <c r="AZ372" i="37"/>
  <c r="BB372" i="37" s="1"/>
  <c r="AY372" i="37"/>
  <c r="Z372" i="37"/>
  <c r="BO371" i="37"/>
  <c r="BL371" i="37"/>
  <c r="BN371" i="37" s="1"/>
  <c r="BI371" i="37"/>
  <c r="BF371" i="37"/>
  <c r="BG371" i="37" s="1"/>
  <c r="BC371" i="37"/>
  <c r="AZ371" i="37"/>
  <c r="BB371" i="37" s="1"/>
  <c r="AY371" i="37"/>
  <c r="Z371" i="37"/>
  <c r="BO370" i="37"/>
  <c r="BQ370" i="37" s="1"/>
  <c r="BL370" i="37"/>
  <c r="BN370" i="37" s="1"/>
  <c r="BI370" i="37"/>
  <c r="BJ370" i="37" s="1"/>
  <c r="BF370" i="37"/>
  <c r="BH370" i="37" s="1"/>
  <c r="BC370" i="37"/>
  <c r="BE370" i="37" s="1"/>
  <c r="AZ370" i="37"/>
  <c r="BB370" i="37" s="1"/>
  <c r="AY370" i="37"/>
  <c r="Z370" i="37"/>
  <c r="BO369" i="37"/>
  <c r="BQ369" i="37" s="1"/>
  <c r="BL369" i="37"/>
  <c r="BM369" i="37" s="1"/>
  <c r="BI369" i="37"/>
  <c r="BK369" i="37" s="1"/>
  <c r="BF369" i="37"/>
  <c r="BH369" i="37" s="1"/>
  <c r="BC369" i="37"/>
  <c r="BE369" i="37" s="1"/>
  <c r="AZ369" i="37"/>
  <c r="AY369" i="37"/>
  <c r="Z369" i="37"/>
  <c r="BO368" i="37"/>
  <c r="BP368" i="37" s="1"/>
  <c r="BL368" i="37"/>
  <c r="BN368" i="37" s="1"/>
  <c r="BI368" i="37"/>
  <c r="BK368" i="37" s="1"/>
  <c r="BF368" i="37"/>
  <c r="BC368" i="37"/>
  <c r="AZ368" i="37"/>
  <c r="BB368" i="37" s="1"/>
  <c r="AY368" i="37"/>
  <c r="Z368" i="37"/>
  <c r="BO367" i="37"/>
  <c r="BL367" i="37"/>
  <c r="BN367" i="37" s="1"/>
  <c r="BI367" i="37"/>
  <c r="BK367" i="37" s="1"/>
  <c r="BF367" i="37"/>
  <c r="BC367" i="37"/>
  <c r="AZ367" i="37"/>
  <c r="BB367" i="37" s="1"/>
  <c r="AY367" i="37"/>
  <c r="Z367" i="37"/>
  <c r="BO366" i="37"/>
  <c r="BQ366" i="37" s="1"/>
  <c r="BL366" i="37"/>
  <c r="BM366" i="37" s="1"/>
  <c r="BI366" i="37"/>
  <c r="BJ366" i="37" s="1"/>
  <c r="BF366" i="37"/>
  <c r="BH366" i="37" s="1"/>
  <c r="BC366" i="37"/>
  <c r="BE366" i="37" s="1"/>
  <c r="AZ366" i="37"/>
  <c r="BB366" i="37" s="1"/>
  <c r="AY366" i="37"/>
  <c r="Z366" i="37"/>
  <c r="BO365" i="37"/>
  <c r="BL365" i="37"/>
  <c r="BM365" i="37" s="1"/>
  <c r="BI365" i="37"/>
  <c r="BF365" i="37"/>
  <c r="BH365" i="37" s="1"/>
  <c r="BC365" i="37"/>
  <c r="BE365" i="37" s="1"/>
  <c r="AZ365" i="37"/>
  <c r="BA365" i="37" s="1"/>
  <c r="AY365" i="37"/>
  <c r="Z365" i="37"/>
  <c r="BO364" i="37"/>
  <c r="BP364" i="37" s="1"/>
  <c r="BL364" i="37"/>
  <c r="BM364" i="37" s="1"/>
  <c r="BI364" i="37"/>
  <c r="BK364" i="37" s="1"/>
  <c r="BF364" i="37"/>
  <c r="BH364" i="37" s="1"/>
  <c r="BC364" i="37"/>
  <c r="BD364" i="37" s="1"/>
  <c r="AZ364" i="37"/>
  <c r="AY364" i="37"/>
  <c r="Z364" i="37"/>
  <c r="BO363" i="37"/>
  <c r="BL363" i="37"/>
  <c r="BN363" i="37" s="1"/>
  <c r="BI363" i="37"/>
  <c r="BK363" i="37" s="1"/>
  <c r="BF363" i="37"/>
  <c r="BG363" i="37" s="1"/>
  <c r="BC363" i="37"/>
  <c r="AZ363" i="37"/>
  <c r="BB363" i="37" s="1"/>
  <c r="AY363" i="37"/>
  <c r="Z363" i="37"/>
  <c r="BO362" i="37"/>
  <c r="BQ362" i="37" s="1"/>
  <c r="BL362" i="37"/>
  <c r="BN362" i="37" s="1"/>
  <c r="BI362" i="37"/>
  <c r="BJ362" i="37" s="1"/>
  <c r="BF362" i="37"/>
  <c r="BC362" i="37"/>
  <c r="BE362" i="37" s="1"/>
  <c r="AZ362" i="37"/>
  <c r="BB362" i="37" s="1"/>
  <c r="AY362" i="37"/>
  <c r="Z362" i="37"/>
  <c r="BO359" i="37"/>
  <c r="BP359" i="37" s="1"/>
  <c r="BL359" i="37"/>
  <c r="BM359" i="37" s="1"/>
  <c r="BI359" i="37"/>
  <c r="BJ359" i="37" s="1"/>
  <c r="BF359" i="37"/>
  <c r="BH359" i="37" s="1"/>
  <c r="BK359" i="37" s="1"/>
  <c r="AY359" i="37"/>
  <c r="AZ359" i="37" s="1"/>
  <c r="BA359" i="37" s="1"/>
  <c r="Z359" i="37"/>
  <c r="BO358" i="37"/>
  <c r="BP358" i="37" s="1"/>
  <c r="BL358" i="37"/>
  <c r="BM358" i="37" s="1"/>
  <c r="BI358" i="37"/>
  <c r="BJ358" i="37" s="1"/>
  <c r="BF358" i="37"/>
  <c r="BH358" i="37" s="1"/>
  <c r="BK358" i="37" s="1"/>
  <c r="AY358" i="37"/>
  <c r="AZ358" i="37" s="1"/>
  <c r="BA358" i="37" s="1"/>
  <c r="Z358" i="37"/>
  <c r="T96" i="47" l="1"/>
  <c r="E110" i="47"/>
  <c r="T100" i="47"/>
  <c r="T95" i="47"/>
  <c r="E101" i="47"/>
  <c r="T99" i="47"/>
  <c r="E97" i="47"/>
  <c r="T97" i="47"/>
  <c r="T101" i="47"/>
  <c r="E106" i="47"/>
  <c r="L90" i="47"/>
  <c r="T90" i="47" s="1"/>
  <c r="L92" i="47"/>
  <c r="T92" i="47" s="1"/>
  <c r="E41" i="47"/>
  <c r="T45" i="47"/>
  <c r="T43" i="47"/>
  <c r="T44" i="47"/>
  <c r="E45" i="47"/>
  <c r="E49" i="47"/>
  <c r="E90" i="47"/>
  <c r="L41" i="47"/>
  <c r="T41" i="47" s="1"/>
  <c r="E92" i="47"/>
  <c r="T120" i="34"/>
  <c r="U120" i="34" s="1"/>
  <c r="N94" i="34"/>
  <c r="N120" i="34"/>
  <c r="BB424" i="37"/>
  <c r="BA424" i="37"/>
  <c r="BA421" i="37"/>
  <c r="BB421" i="37"/>
  <c r="BB418" i="37"/>
  <c r="BA418" i="37"/>
  <c r="W418" i="37"/>
  <c r="A418" i="37"/>
  <c r="Q94" i="34"/>
  <c r="G471" i="37"/>
  <c r="W471" i="37"/>
  <c r="G472" i="37"/>
  <c r="W472" i="37"/>
  <c r="G495" i="37"/>
  <c r="W495" i="37"/>
  <c r="G497" i="37"/>
  <c r="W497" i="37"/>
  <c r="G418" i="37"/>
  <c r="C32" i="46"/>
  <c r="D33" i="46"/>
  <c r="AV486" i="37"/>
  <c r="AV473" i="37"/>
  <c r="AV474" i="37"/>
  <c r="C17" i="40"/>
  <c r="D17" i="40"/>
  <c r="F17" i="40"/>
  <c r="O94" i="34"/>
  <c r="R94" i="34"/>
  <c r="AV472" i="37"/>
  <c r="BH418" i="37"/>
  <c r="BK418" i="37" s="1"/>
  <c r="BG439" i="37"/>
  <c r="BH442" i="37"/>
  <c r="BK442" i="37" s="1"/>
  <c r="BH415" i="37"/>
  <c r="BK415" i="37" s="1"/>
  <c r="BN424" i="37"/>
  <c r="BQ424" i="37" s="1"/>
  <c r="BN358" i="37"/>
  <c r="BQ358" i="37" s="1"/>
  <c r="BN359" i="37"/>
  <c r="BQ359" i="37" s="1"/>
  <c r="BG358" i="37"/>
  <c r="BK362" i="37"/>
  <c r="BH407" i="37"/>
  <c r="BE497" i="37"/>
  <c r="BN495" i="37"/>
  <c r="BM413" i="37"/>
  <c r="BD472" i="37"/>
  <c r="BP472" i="37"/>
  <c r="BM497" i="37"/>
  <c r="BE471" i="37"/>
  <c r="BK472" i="37"/>
  <c r="BN366" i="37"/>
  <c r="BB373" i="37"/>
  <c r="BJ377" i="37"/>
  <c r="BK385" i="37"/>
  <c r="BH394" i="37"/>
  <c r="BB405" i="37"/>
  <c r="BE412" i="37"/>
  <c r="BG471" i="37"/>
  <c r="BQ471" i="37"/>
  <c r="BH472" i="37"/>
  <c r="BP497" i="37"/>
  <c r="BB393" i="37"/>
  <c r="BJ393" i="37"/>
  <c r="BK410" i="37"/>
  <c r="BA497" i="37"/>
  <c r="BK389" i="37"/>
  <c r="BD395" i="37"/>
  <c r="BK406" i="37"/>
  <c r="BA495" i="37"/>
  <c r="BA472" i="37"/>
  <c r="BM472" i="37"/>
  <c r="BJ497" i="37"/>
  <c r="BG497" i="37"/>
  <c r="BM442" i="37"/>
  <c r="BM439" i="37"/>
  <c r="BG424" i="37"/>
  <c r="BN418" i="37"/>
  <c r="BQ418" i="37" s="1"/>
  <c r="BN365" i="37"/>
  <c r="BG366" i="37"/>
  <c r="BK374" i="37"/>
  <c r="BD377" i="37"/>
  <c r="BA380" i="37"/>
  <c r="BE387" i="37"/>
  <c r="BB389" i="37"/>
  <c r="BJ402" i="37"/>
  <c r="BB410" i="37"/>
  <c r="BJ375" i="37"/>
  <c r="BE376" i="37"/>
  <c r="BG403" i="37"/>
  <c r="BP411" i="37"/>
  <c r="BN364" i="37"/>
  <c r="BQ377" i="37"/>
  <c r="BQ383" i="37"/>
  <c r="BH385" i="37"/>
  <c r="BQ391" i="37"/>
  <c r="BQ404" i="37"/>
  <c r="BM368" i="37"/>
  <c r="BA370" i="37"/>
  <c r="BK370" i="37"/>
  <c r="BP381" i="37"/>
  <c r="BH382" i="37"/>
  <c r="BN410" i="37"/>
  <c r="BD411" i="37"/>
  <c r="BN369" i="37"/>
  <c r="BN373" i="37"/>
  <c r="BG378" i="37"/>
  <c r="BB381" i="37"/>
  <c r="BH391" i="37"/>
  <c r="BK398" i="37"/>
  <c r="BJ405" i="37"/>
  <c r="BM408" i="37"/>
  <c r="BE409" i="37"/>
  <c r="BM409" i="37"/>
  <c r="BK383" i="37"/>
  <c r="BJ383" i="37"/>
  <c r="BB400" i="37"/>
  <c r="BA400" i="37"/>
  <c r="BD391" i="37"/>
  <c r="BE391" i="37"/>
  <c r="BM397" i="37"/>
  <c r="BN397" i="37"/>
  <c r="BK401" i="37"/>
  <c r="BJ401" i="37"/>
  <c r="BQ367" i="37"/>
  <c r="BP367" i="37"/>
  <c r="BK378" i="37"/>
  <c r="BJ378" i="37"/>
  <c r="BA364" i="37"/>
  <c r="BB364" i="37"/>
  <c r="BH368" i="37"/>
  <c r="BG368" i="37"/>
  <c r="BG372" i="37"/>
  <c r="BH372" i="37"/>
  <c r="BP376" i="37"/>
  <c r="BQ376" i="37"/>
  <c r="BB382" i="37"/>
  <c r="BA382" i="37"/>
  <c r="BA401" i="37"/>
  <c r="BB401" i="37"/>
  <c r="BH402" i="37"/>
  <c r="BG402" i="37"/>
  <c r="BN372" i="37"/>
  <c r="BM372" i="37"/>
  <c r="BQ365" i="37"/>
  <c r="BP365" i="37"/>
  <c r="BM381" i="37"/>
  <c r="BN381" i="37"/>
  <c r="BG386" i="37"/>
  <c r="BH386" i="37"/>
  <c r="BB413" i="37"/>
  <c r="BA413" i="37"/>
  <c r="BB365" i="37"/>
  <c r="BK366" i="37"/>
  <c r="BJ367" i="37"/>
  <c r="BA368" i="37"/>
  <c r="BQ368" i="37"/>
  <c r="BJ369" i="37"/>
  <c r="BP369" i="37"/>
  <c r="BH371" i="37"/>
  <c r="BA372" i="37"/>
  <c r="BA374" i="37"/>
  <c r="BG374" i="37"/>
  <c r="BM374" i="37"/>
  <c r="BD379" i="37"/>
  <c r="BG381" i="37"/>
  <c r="BK382" i="37"/>
  <c r="BP387" i="37"/>
  <c r="BG390" i="37"/>
  <c r="BK394" i="37"/>
  <c r="BA396" i="37"/>
  <c r="BB397" i="37"/>
  <c r="BJ397" i="37"/>
  <c r="BG398" i="37"/>
  <c r="BH399" i="37"/>
  <c r="BP399" i="37"/>
  <c r="BA404" i="37"/>
  <c r="BG406" i="37"/>
  <c r="BK407" i="37"/>
  <c r="BA408" i="37"/>
  <c r="BJ409" i="37"/>
  <c r="BQ409" i="37"/>
  <c r="BH412" i="37"/>
  <c r="BP412" i="37"/>
  <c r="BQ363" i="37"/>
  <c r="BP363" i="37"/>
  <c r="BA369" i="37"/>
  <c r="BB369" i="37"/>
  <c r="BN378" i="37"/>
  <c r="BM378" i="37"/>
  <c r="BJ381" i="37"/>
  <c r="BK381" i="37"/>
  <c r="BE386" i="37"/>
  <c r="BD386" i="37"/>
  <c r="BP392" i="37"/>
  <c r="BQ392" i="37"/>
  <c r="BN404" i="37"/>
  <c r="BM404" i="37"/>
  <c r="BM406" i="37"/>
  <c r="BN406" i="37"/>
  <c r="BH363" i="37"/>
  <c r="BG364" i="37"/>
  <c r="BE367" i="37"/>
  <c r="BD367" i="37"/>
  <c r="BJ371" i="37"/>
  <c r="BK371" i="37"/>
  <c r="BJ373" i="37"/>
  <c r="BP373" i="37"/>
  <c r="BE375" i="37"/>
  <c r="BD375" i="37"/>
  <c r="BM376" i="37"/>
  <c r="BB377" i="37"/>
  <c r="BN377" i="37"/>
  <c r="BA378" i="37"/>
  <c r="BQ378" i="37"/>
  <c r="BP378" i="37"/>
  <c r="BD380" i="37"/>
  <c r="BE380" i="37"/>
  <c r="BM380" i="37"/>
  <c r="BD383" i="37"/>
  <c r="BA385" i="37"/>
  <c r="BB385" i="37"/>
  <c r="BP386" i="37"/>
  <c r="BQ386" i="37"/>
  <c r="BN387" i="37"/>
  <c r="BM387" i="37"/>
  <c r="BE404" i="37"/>
  <c r="BD404" i="37"/>
  <c r="BD413" i="37"/>
  <c r="BE413" i="37"/>
  <c r="BH362" i="37"/>
  <c r="BG362" i="37"/>
  <c r="BE373" i="37"/>
  <c r="BD373" i="37"/>
  <c r="BH376" i="37"/>
  <c r="BG376" i="37"/>
  <c r="BP379" i="37"/>
  <c r="BQ382" i="37"/>
  <c r="BN384" i="37"/>
  <c r="BN388" i="37"/>
  <c r="BM388" i="37"/>
  <c r="BP396" i="37"/>
  <c r="BQ396" i="37"/>
  <c r="BQ403" i="37"/>
  <c r="BP403" i="37"/>
  <c r="BH411" i="37"/>
  <c r="BG411" i="37"/>
  <c r="BE363" i="37"/>
  <c r="BD363" i="37"/>
  <c r="BJ365" i="37"/>
  <c r="BK365" i="37"/>
  <c r="BQ371" i="37"/>
  <c r="BP371" i="37"/>
  <c r="BP375" i="37"/>
  <c r="BB376" i="37"/>
  <c r="BA376" i="37"/>
  <c r="BJ379" i="37"/>
  <c r="BH384" i="37"/>
  <c r="BG384" i="37"/>
  <c r="BE388" i="37"/>
  <c r="BA392" i="37"/>
  <c r="BB392" i="37"/>
  <c r="BB409" i="37"/>
  <c r="BA409" i="37"/>
  <c r="BM393" i="37"/>
  <c r="BN393" i="37"/>
  <c r="BN400" i="37"/>
  <c r="BM400" i="37"/>
  <c r="BA406" i="37"/>
  <c r="BB406" i="37"/>
  <c r="BE408" i="37"/>
  <c r="BD408" i="37"/>
  <c r="BN412" i="37"/>
  <c r="BM412" i="37"/>
  <c r="BE495" i="37"/>
  <c r="BD495" i="37"/>
  <c r="BD368" i="37"/>
  <c r="BE368" i="37"/>
  <c r="BE371" i="37"/>
  <c r="BD371" i="37"/>
  <c r="BE381" i="37"/>
  <c r="BD381" i="37"/>
  <c r="BQ385" i="37"/>
  <c r="BP385" i="37"/>
  <c r="BJ390" i="37"/>
  <c r="BK390" i="37"/>
  <c r="BH395" i="37"/>
  <c r="BP395" i="37"/>
  <c r="BD400" i="37"/>
  <c r="BE400" i="37"/>
  <c r="BE403" i="37"/>
  <c r="BD403" i="37"/>
  <c r="BQ407" i="37"/>
  <c r="BP407" i="37"/>
  <c r="BH410" i="37"/>
  <c r="BG410" i="37"/>
  <c r="BK411" i="37"/>
  <c r="BB412" i="37"/>
  <c r="BA412" i="37"/>
  <c r="BH421" i="37"/>
  <c r="BK421" i="37" s="1"/>
  <c r="BG421" i="37"/>
  <c r="BA362" i="37"/>
  <c r="BM362" i="37"/>
  <c r="BJ363" i="37"/>
  <c r="BE364" i="37"/>
  <c r="BQ364" i="37"/>
  <c r="BD365" i="37"/>
  <c r="BA366" i="37"/>
  <c r="BG367" i="37"/>
  <c r="BH367" i="37"/>
  <c r="BD369" i="37"/>
  <c r="BG370" i="37"/>
  <c r="BM370" i="37"/>
  <c r="BE372" i="37"/>
  <c r="BQ372" i="37"/>
  <c r="BG375" i="37"/>
  <c r="BH375" i="37"/>
  <c r="BA379" i="37"/>
  <c r="BG379" i="37"/>
  <c r="BH379" i="37"/>
  <c r="BN379" i="37"/>
  <c r="BJ380" i="37"/>
  <c r="BA383" i="37"/>
  <c r="BB384" i="37"/>
  <c r="BK384" i="37"/>
  <c r="BQ384" i="37"/>
  <c r="BM386" i="37"/>
  <c r="BB387" i="37"/>
  <c r="BG387" i="37"/>
  <c r="BH387" i="37"/>
  <c r="BB388" i="37"/>
  <c r="BQ388" i="37"/>
  <c r="BM389" i="37"/>
  <c r="BN389" i="37"/>
  <c r="BE392" i="37"/>
  <c r="BM392" i="37"/>
  <c r="BD396" i="37"/>
  <c r="BE396" i="37"/>
  <c r="BN396" i="37"/>
  <c r="BD399" i="37"/>
  <c r="BQ400" i="37"/>
  <c r="BM401" i="37"/>
  <c r="BN401" i="37"/>
  <c r="BN405" i="37"/>
  <c r="BM405" i="37"/>
  <c r="BE407" i="37"/>
  <c r="BD407" i="37"/>
  <c r="BH408" i="37"/>
  <c r="BQ408" i="37"/>
  <c r="BP408" i="37"/>
  <c r="BJ413" i="37"/>
  <c r="BP413" i="37"/>
  <c r="BQ413" i="37"/>
  <c r="BQ495" i="37"/>
  <c r="BP495" i="37"/>
  <c r="BM471" i="37"/>
  <c r="BJ495" i="37"/>
  <c r="BM415" i="37"/>
  <c r="BN421" i="37"/>
  <c r="BQ421" i="37" s="1"/>
  <c r="BB471" i="37"/>
  <c r="BJ471" i="37"/>
  <c r="BG495" i="37"/>
  <c r="BH401" i="37"/>
  <c r="BG401" i="37"/>
  <c r="BH413" i="37"/>
  <c r="BG413" i="37"/>
  <c r="BG359" i="37"/>
  <c r="BD362" i="37"/>
  <c r="BP362" i="37"/>
  <c r="BA363" i="37"/>
  <c r="BM363" i="37"/>
  <c r="BJ364" i="37"/>
  <c r="BG365" i="37"/>
  <c r="BD366" i="37"/>
  <c r="BP366" i="37"/>
  <c r="BA367" i="37"/>
  <c r="BM367" i="37"/>
  <c r="BJ368" i="37"/>
  <c r="BG369" i="37"/>
  <c r="BD370" i="37"/>
  <c r="BP370" i="37"/>
  <c r="BA371" i="37"/>
  <c r="BM371" i="37"/>
  <c r="BJ372" i="37"/>
  <c r="BG373" i="37"/>
  <c r="BD374" i="37"/>
  <c r="BP374" i="37"/>
  <c r="BA375" i="37"/>
  <c r="BM375" i="37"/>
  <c r="BJ376" i="37"/>
  <c r="BG377" i="37"/>
  <c r="BD378" i="37"/>
  <c r="BG380" i="37"/>
  <c r="BQ380" i="37"/>
  <c r="BD382" i="37"/>
  <c r="BM382" i="37"/>
  <c r="BH383" i="37"/>
  <c r="BM383" i="37"/>
  <c r="BD385" i="37"/>
  <c r="BN385" i="37"/>
  <c r="BH389" i="37"/>
  <c r="BG389" i="37"/>
  <c r="BQ390" i="37"/>
  <c r="BP390" i="37"/>
  <c r="BK396" i="37"/>
  <c r="BJ396" i="37"/>
  <c r="BB399" i="37"/>
  <c r="BA399" i="37"/>
  <c r="BE402" i="37"/>
  <c r="BD402" i="37"/>
  <c r="BQ402" i="37"/>
  <c r="BP402" i="37"/>
  <c r="BH405" i="37"/>
  <c r="BG405" i="37"/>
  <c r="BB407" i="37"/>
  <c r="BA407" i="37"/>
  <c r="BN407" i="37"/>
  <c r="BM407" i="37"/>
  <c r="BE410" i="37"/>
  <c r="BD410" i="37"/>
  <c r="BQ410" i="37"/>
  <c r="BP410" i="37"/>
  <c r="BK412" i="37"/>
  <c r="BJ412" i="37"/>
  <c r="BB395" i="37"/>
  <c r="BA395" i="37"/>
  <c r="BN399" i="37"/>
  <c r="BM399" i="37"/>
  <c r="BE384" i="37"/>
  <c r="BA386" i="37"/>
  <c r="BK386" i="37"/>
  <c r="BJ387" i="37"/>
  <c r="BE390" i="37"/>
  <c r="BD390" i="37"/>
  <c r="BN391" i="37"/>
  <c r="BM391" i="37"/>
  <c r="BH393" i="37"/>
  <c r="BG393" i="37"/>
  <c r="BQ394" i="37"/>
  <c r="BP394" i="37"/>
  <c r="BK400" i="37"/>
  <c r="BJ400" i="37"/>
  <c r="BN403" i="37"/>
  <c r="BM403" i="37"/>
  <c r="BH409" i="37"/>
  <c r="BG409" i="37"/>
  <c r="BK392" i="37"/>
  <c r="BJ392" i="37"/>
  <c r="BE398" i="37"/>
  <c r="BD398" i="37"/>
  <c r="BK388" i="37"/>
  <c r="BJ388" i="37"/>
  <c r="BB391" i="37"/>
  <c r="BA391" i="37"/>
  <c r="BE394" i="37"/>
  <c r="BD394" i="37"/>
  <c r="BN395" i="37"/>
  <c r="BM395" i="37"/>
  <c r="BH397" i="37"/>
  <c r="BG397" i="37"/>
  <c r="BQ398" i="37"/>
  <c r="BP398" i="37"/>
  <c r="BB403" i="37"/>
  <c r="BA403" i="37"/>
  <c r="BK404" i="37"/>
  <c r="BJ404" i="37"/>
  <c r="BE406" i="37"/>
  <c r="BD406" i="37"/>
  <c r="BQ406" i="37"/>
  <c r="BP406" i="37"/>
  <c r="BK408" i="37"/>
  <c r="BJ408" i="37"/>
  <c r="BB411" i="37"/>
  <c r="BA411" i="37"/>
  <c r="BN411" i="37"/>
  <c r="BM411" i="37"/>
  <c r="BG388" i="37"/>
  <c r="BD389" i="37"/>
  <c r="BP389" i="37"/>
  <c r="BA390" i="37"/>
  <c r="BM390" i="37"/>
  <c r="BJ391" i="37"/>
  <c r="BG392" i="37"/>
  <c r="BD393" i="37"/>
  <c r="BP393" i="37"/>
  <c r="BA394" i="37"/>
  <c r="BM394" i="37"/>
  <c r="BJ395" i="37"/>
  <c r="BG396" i="37"/>
  <c r="BD397" i="37"/>
  <c r="BP397" i="37"/>
  <c r="BA398" i="37"/>
  <c r="BM398" i="37"/>
  <c r="BJ399" i="37"/>
  <c r="BG400" i="37"/>
  <c r="BD401" i="37"/>
  <c r="BP401" i="37"/>
  <c r="BA402" i="37"/>
  <c r="BM402" i="37"/>
  <c r="BJ403" i="37"/>
  <c r="BG404" i="37"/>
  <c r="BD405" i="37"/>
  <c r="BP405" i="37"/>
  <c r="T104" i="47" l="1"/>
  <c r="M104" i="47"/>
  <c r="T105" i="47"/>
  <c r="M105" i="47"/>
  <c r="M110" i="47"/>
  <c r="T110" i="47"/>
  <c r="M95" i="47"/>
  <c r="M99" i="47"/>
  <c r="M97" i="47"/>
  <c r="M100" i="47"/>
  <c r="M101" i="47"/>
  <c r="M96" i="47"/>
  <c r="T109" i="47"/>
  <c r="M109" i="47"/>
  <c r="M106" i="47"/>
  <c r="T106" i="47"/>
  <c r="T108" i="47"/>
  <c r="M108" i="47"/>
  <c r="T48" i="47"/>
  <c r="M48" i="47"/>
  <c r="M47" i="47"/>
  <c r="T47" i="47"/>
  <c r="M44" i="47"/>
  <c r="M45" i="47"/>
  <c r="M43" i="47"/>
  <c r="M49" i="47"/>
  <c r="T49" i="47"/>
  <c r="M92" i="47"/>
  <c r="M90" i="47"/>
  <c r="M42" i="47"/>
  <c r="M98" i="47" s="1"/>
  <c r="M94" i="47"/>
  <c r="M41" i="47"/>
  <c r="M40" i="47"/>
  <c r="M91" i="47"/>
  <c r="M89" i="47"/>
  <c r="U119" i="34"/>
  <c r="L117" i="47"/>
  <c r="L53" i="47"/>
  <c r="L58" i="47"/>
  <c r="L107" i="47"/>
  <c r="T107" i="47" s="1"/>
  <c r="L103" i="47"/>
  <c r="L46" i="47"/>
  <c r="L50" i="41"/>
  <c r="E50" i="41" s="1"/>
  <c r="L116" i="47"/>
  <c r="L52" i="47"/>
  <c r="L57" i="47"/>
  <c r="L94" i="47"/>
  <c r="L42" i="47"/>
  <c r="L89" i="47"/>
  <c r="L91" i="47"/>
  <c r="T91" i="47" s="1"/>
  <c r="L40" i="47"/>
  <c r="L51" i="41"/>
  <c r="T119" i="34"/>
  <c r="N119" i="34"/>
  <c r="D34" i="46"/>
  <c r="C33" i="46"/>
  <c r="AV471" i="37"/>
  <c r="BO356" i="37"/>
  <c r="BP356" i="37" s="1"/>
  <c r="BL356" i="37"/>
  <c r="BM356" i="37" s="1"/>
  <c r="BI356" i="37"/>
  <c r="BK356" i="37" s="1"/>
  <c r="BC356" i="37"/>
  <c r="AZ356" i="37"/>
  <c r="BA356" i="37" s="1"/>
  <c r="AY356" i="37"/>
  <c r="Z356" i="37"/>
  <c r="BO355" i="37"/>
  <c r="BQ355" i="37" s="1"/>
  <c r="BL355" i="37"/>
  <c r="BI355" i="37"/>
  <c r="BG355" i="37"/>
  <c r="BC355" i="37"/>
  <c r="AZ355" i="37"/>
  <c r="BB355" i="37" s="1"/>
  <c r="AY355" i="37"/>
  <c r="Z355" i="37"/>
  <c r="BO354" i="37"/>
  <c r="BQ354" i="37" s="1"/>
  <c r="BL354" i="37"/>
  <c r="BI354" i="37"/>
  <c r="BJ354" i="37" s="1"/>
  <c r="BH354" i="37"/>
  <c r="BC354" i="37"/>
  <c r="AZ354" i="37"/>
  <c r="AY354" i="37"/>
  <c r="Z354" i="37"/>
  <c r="BO353" i="37"/>
  <c r="BL353" i="37"/>
  <c r="BM353" i="37" s="1"/>
  <c r="BI353" i="37"/>
  <c r="BH353" i="37"/>
  <c r="BC353" i="37"/>
  <c r="AZ353" i="37"/>
  <c r="AY353" i="37"/>
  <c r="Z353" i="37"/>
  <c r="BO352" i="37"/>
  <c r="BL352" i="37"/>
  <c r="BM352" i="37" s="1"/>
  <c r="BI352" i="37"/>
  <c r="BK352" i="37" s="1"/>
  <c r="BC352" i="37"/>
  <c r="BD352" i="37" s="1"/>
  <c r="AZ352" i="37"/>
  <c r="AY352" i="37"/>
  <c r="Z352" i="37"/>
  <c r="BO351" i="37"/>
  <c r="BL351" i="37"/>
  <c r="BN351" i="37" s="1"/>
  <c r="BI351" i="37"/>
  <c r="BG351" i="37"/>
  <c r="BC351" i="37"/>
  <c r="BE351" i="37" s="1"/>
  <c r="AZ351" i="37"/>
  <c r="AY351" i="37"/>
  <c r="Z351" i="37"/>
  <c r="BO350" i="37"/>
  <c r="BL350" i="37"/>
  <c r="BI350" i="37"/>
  <c r="BJ350" i="37" s="1"/>
  <c r="BC350" i="37"/>
  <c r="BE350" i="37" s="1"/>
  <c r="AZ350" i="37"/>
  <c r="AY350" i="37"/>
  <c r="Z350" i="37"/>
  <c r="BO349" i="37"/>
  <c r="BL349" i="37"/>
  <c r="BN349" i="37" s="1"/>
  <c r="BI349" i="37"/>
  <c r="BK349" i="37" s="1"/>
  <c r="BH349" i="37"/>
  <c r="BC349" i="37"/>
  <c r="AZ349" i="37"/>
  <c r="BB349" i="37" s="1"/>
  <c r="AY349" i="37"/>
  <c r="Z349" i="37"/>
  <c r="BO348" i="37"/>
  <c r="BP348" i="37" s="1"/>
  <c r="BL348" i="37"/>
  <c r="BN348" i="37" s="1"/>
  <c r="BI348" i="37"/>
  <c r="BK348" i="37" s="1"/>
  <c r="BC348" i="37"/>
  <c r="BE348" i="37" s="1"/>
  <c r="AZ348" i="37"/>
  <c r="AY348" i="37"/>
  <c r="Z348" i="37"/>
  <c r="BO347" i="37"/>
  <c r="BL347" i="37"/>
  <c r="BN347" i="37" s="1"/>
  <c r="BI347" i="37"/>
  <c r="BG347" i="37"/>
  <c r="BC347" i="37"/>
  <c r="BE347" i="37" s="1"/>
  <c r="AZ347" i="37"/>
  <c r="BB347" i="37" s="1"/>
  <c r="AY347" i="37"/>
  <c r="Z347" i="37"/>
  <c r="BO346" i="37"/>
  <c r="BQ346" i="37" s="1"/>
  <c r="BL346" i="37"/>
  <c r="BI346" i="37"/>
  <c r="BJ346" i="37" s="1"/>
  <c r="BG346" i="37"/>
  <c r="BC346" i="37"/>
  <c r="BE346" i="37" s="1"/>
  <c r="AZ346" i="37"/>
  <c r="AY346" i="37"/>
  <c r="Z346" i="37"/>
  <c r="BO345" i="37"/>
  <c r="BL345" i="37"/>
  <c r="BM345" i="37" s="1"/>
  <c r="BI345" i="37"/>
  <c r="BH345" i="37"/>
  <c r="BC345" i="37"/>
  <c r="AZ345" i="37"/>
  <c r="BB345" i="37" s="1"/>
  <c r="AY345" i="37"/>
  <c r="Z345" i="37"/>
  <c r="BO344" i="37"/>
  <c r="BQ344" i="37" s="1"/>
  <c r="BL344" i="37"/>
  <c r="BN344" i="37" s="1"/>
  <c r="BI344" i="37"/>
  <c r="BC344" i="37"/>
  <c r="AZ344" i="37"/>
  <c r="BB344" i="37" s="1"/>
  <c r="AY344" i="37"/>
  <c r="Z344" i="37"/>
  <c r="BO343" i="37"/>
  <c r="BP343" i="37" s="1"/>
  <c r="BL343" i="37"/>
  <c r="BI343" i="37"/>
  <c r="BH343" i="37"/>
  <c r="BC343" i="37"/>
  <c r="BD343" i="37" s="1"/>
  <c r="AZ343" i="37"/>
  <c r="BB343" i="37" s="1"/>
  <c r="AY343" i="37"/>
  <c r="Z343" i="37"/>
  <c r="BO342" i="37"/>
  <c r="BQ342" i="37" s="1"/>
  <c r="BL342" i="37"/>
  <c r="BI342" i="37"/>
  <c r="BK342" i="37" s="1"/>
  <c r="BC342" i="37"/>
  <c r="BE342" i="37" s="1"/>
  <c r="AZ342" i="37"/>
  <c r="AY342" i="37"/>
  <c r="Z342" i="37"/>
  <c r="BO341" i="37"/>
  <c r="BL341" i="37"/>
  <c r="BI341" i="37"/>
  <c r="BJ341" i="37" s="1"/>
  <c r="BH341" i="37"/>
  <c r="BC341" i="37"/>
  <c r="AZ341" i="37"/>
  <c r="BA341" i="37" s="1"/>
  <c r="AY341" i="37"/>
  <c r="Z341" i="37"/>
  <c r="BO340" i="37"/>
  <c r="BQ340" i="37" s="1"/>
  <c r="BL340" i="37"/>
  <c r="BM340" i="37" s="1"/>
  <c r="BI340" i="37"/>
  <c r="BK340" i="37" s="1"/>
  <c r="BC340" i="37"/>
  <c r="AZ340" i="37"/>
  <c r="BA340" i="37" s="1"/>
  <c r="AY340" i="37"/>
  <c r="Z340" i="37"/>
  <c r="BO339" i="37"/>
  <c r="BP339" i="37" s="1"/>
  <c r="BL339" i="37"/>
  <c r="BI339" i="37"/>
  <c r="BH339" i="37"/>
  <c r="BC339" i="37"/>
  <c r="BD339" i="37" s="1"/>
  <c r="AZ339" i="37"/>
  <c r="BB339" i="37" s="1"/>
  <c r="AY339" i="37"/>
  <c r="Z339" i="37"/>
  <c r="BO338" i="37"/>
  <c r="BQ338" i="37" s="1"/>
  <c r="BL338" i="37"/>
  <c r="BI338" i="37"/>
  <c r="BK338" i="37" s="1"/>
  <c r="BC338" i="37"/>
  <c r="BE338" i="37" s="1"/>
  <c r="AZ338" i="37"/>
  <c r="AY338" i="37"/>
  <c r="Z338" i="37"/>
  <c r="BO337" i="37"/>
  <c r="BL337" i="37"/>
  <c r="BI337" i="37"/>
  <c r="BJ337" i="37" s="1"/>
  <c r="BH337" i="37"/>
  <c r="BC337" i="37"/>
  <c r="BD337" i="37" s="1"/>
  <c r="AZ337" i="37"/>
  <c r="BB337" i="37" s="1"/>
  <c r="AY337" i="37"/>
  <c r="Z337" i="37"/>
  <c r="BO336" i="37"/>
  <c r="BQ336" i="37" s="1"/>
  <c r="BL336" i="37"/>
  <c r="BM336" i="37" s="1"/>
  <c r="BI336" i="37"/>
  <c r="BK336" i="37" s="1"/>
  <c r="BG336" i="37"/>
  <c r="BC336" i="37"/>
  <c r="BD336" i="37" s="1"/>
  <c r="AZ336" i="37"/>
  <c r="AY336" i="37"/>
  <c r="Z336" i="37"/>
  <c r="BO335" i="37"/>
  <c r="BL335" i="37"/>
  <c r="BN335" i="37" s="1"/>
  <c r="BI335" i="37"/>
  <c r="BJ335" i="37" s="1"/>
  <c r="BG335" i="37"/>
  <c r="BC335" i="37"/>
  <c r="BD335" i="37" s="1"/>
  <c r="AZ335" i="37"/>
  <c r="BB335" i="37" s="1"/>
  <c r="AY335" i="37"/>
  <c r="Z335" i="37"/>
  <c r="BO334" i="37"/>
  <c r="BQ334" i="37" s="1"/>
  <c r="BL334" i="37"/>
  <c r="BI334" i="37"/>
  <c r="BK334" i="37" s="1"/>
  <c r="BC334" i="37"/>
  <c r="BE334" i="37" s="1"/>
  <c r="AZ334" i="37"/>
  <c r="AY334" i="37"/>
  <c r="Z334" i="37"/>
  <c r="BO333" i="37"/>
  <c r="BL333" i="37"/>
  <c r="BN333" i="37" s="1"/>
  <c r="BI333" i="37"/>
  <c r="BK333" i="37" s="1"/>
  <c r="BH333" i="37"/>
  <c r="BC333" i="37"/>
  <c r="AZ333" i="37"/>
  <c r="BB333" i="37" s="1"/>
  <c r="AY333" i="37"/>
  <c r="Z333" i="37"/>
  <c r="BO332" i="37"/>
  <c r="BQ332" i="37" s="1"/>
  <c r="BL332" i="37"/>
  <c r="BN332" i="37" s="1"/>
  <c r="BI332" i="37"/>
  <c r="BK332" i="37" s="1"/>
  <c r="BC332" i="37"/>
  <c r="BE332" i="37" s="1"/>
  <c r="AZ332" i="37"/>
  <c r="BB332" i="37" s="1"/>
  <c r="AY332" i="37"/>
  <c r="Z332" i="37"/>
  <c r="BO331" i="37"/>
  <c r="BQ331" i="37" s="1"/>
  <c r="BL331" i="37"/>
  <c r="BN331" i="37" s="1"/>
  <c r="BI331" i="37"/>
  <c r="BJ331" i="37" s="1"/>
  <c r="BH331" i="37"/>
  <c r="BC331" i="37"/>
  <c r="BE331" i="37" s="1"/>
  <c r="AZ331" i="37"/>
  <c r="BB331" i="37" s="1"/>
  <c r="AY331" i="37"/>
  <c r="Z331" i="37"/>
  <c r="BO330" i="37"/>
  <c r="BL330" i="37"/>
  <c r="BM330" i="37" s="1"/>
  <c r="BI330" i="37"/>
  <c r="BH330" i="37"/>
  <c r="BC330" i="37"/>
  <c r="AZ330" i="37"/>
  <c r="BA330" i="37" s="1"/>
  <c r="AY330" i="37"/>
  <c r="Z330" i="37"/>
  <c r="BO329" i="37"/>
  <c r="BP329" i="37" s="1"/>
  <c r="BL329" i="37"/>
  <c r="BN329" i="37" s="1"/>
  <c r="BI329" i="37"/>
  <c r="BK329" i="37" s="1"/>
  <c r="BG329" i="37"/>
  <c r="BC329" i="37"/>
  <c r="BD329" i="37" s="1"/>
  <c r="AZ329" i="37"/>
  <c r="BB329" i="37" s="1"/>
  <c r="AY329" i="37"/>
  <c r="Z329" i="37"/>
  <c r="BO328" i="37"/>
  <c r="BQ328" i="37" s="1"/>
  <c r="BL328" i="37"/>
  <c r="BN328" i="37" s="1"/>
  <c r="BI328" i="37"/>
  <c r="BK328" i="37" s="1"/>
  <c r="BG328" i="37"/>
  <c r="BC328" i="37"/>
  <c r="BE328" i="37" s="1"/>
  <c r="AZ328" i="37"/>
  <c r="BB328" i="37" s="1"/>
  <c r="AY328" i="37"/>
  <c r="Z328" i="37"/>
  <c r="BO327" i="37"/>
  <c r="BQ327" i="37" s="1"/>
  <c r="BL327" i="37"/>
  <c r="BN327" i="37" s="1"/>
  <c r="BI327" i="37"/>
  <c r="BJ327" i="37" s="1"/>
  <c r="BH327" i="37"/>
  <c r="BC327" i="37"/>
  <c r="BE327" i="37" s="1"/>
  <c r="AZ327" i="37"/>
  <c r="BB327" i="37" s="1"/>
  <c r="AY327" i="37"/>
  <c r="Z327" i="37"/>
  <c r="BO326" i="37"/>
  <c r="BP326" i="37" s="1"/>
  <c r="BL326" i="37"/>
  <c r="BM326" i="37" s="1"/>
  <c r="BI326" i="37"/>
  <c r="BK326" i="37" s="1"/>
  <c r="BH326" i="37"/>
  <c r="BC326" i="37"/>
  <c r="BD326" i="37" s="1"/>
  <c r="AZ326" i="37"/>
  <c r="BA326" i="37" s="1"/>
  <c r="AY326" i="37"/>
  <c r="Z326" i="37"/>
  <c r="BO325" i="37"/>
  <c r="BP325" i="37" s="1"/>
  <c r="BL325" i="37"/>
  <c r="BN325" i="37" s="1"/>
  <c r="BI325" i="37"/>
  <c r="BK325" i="37" s="1"/>
  <c r="BG325" i="37"/>
  <c r="BC325" i="37"/>
  <c r="BD325" i="37" s="1"/>
  <c r="AZ325" i="37"/>
  <c r="BB325" i="37" s="1"/>
  <c r="AY325" i="37"/>
  <c r="Z325" i="37"/>
  <c r="BO324" i="37"/>
  <c r="BQ324" i="37" s="1"/>
  <c r="BL324" i="37"/>
  <c r="BN324" i="37" s="1"/>
  <c r="BI324" i="37"/>
  <c r="BJ324" i="37" s="1"/>
  <c r="BG324" i="37"/>
  <c r="BC324" i="37"/>
  <c r="BE324" i="37" s="1"/>
  <c r="AZ324" i="37"/>
  <c r="BB324" i="37" s="1"/>
  <c r="AY324" i="37"/>
  <c r="Z324" i="37"/>
  <c r="BO323" i="37"/>
  <c r="BQ323" i="37" s="1"/>
  <c r="BL323" i="37"/>
  <c r="BN323" i="37" s="1"/>
  <c r="BI323" i="37"/>
  <c r="BJ323" i="37" s="1"/>
  <c r="BH323" i="37"/>
  <c r="BC323" i="37"/>
  <c r="BE323" i="37" s="1"/>
  <c r="AZ323" i="37"/>
  <c r="BB323" i="37" s="1"/>
  <c r="AY323" i="37"/>
  <c r="Z323" i="37"/>
  <c r="BO322" i="37"/>
  <c r="BQ322" i="37" s="1"/>
  <c r="BL322" i="37"/>
  <c r="BM322" i="37" s="1"/>
  <c r="BI322" i="37"/>
  <c r="BK322" i="37" s="1"/>
  <c r="BH322" i="37"/>
  <c r="BC322" i="37"/>
  <c r="BE322" i="37" s="1"/>
  <c r="AZ322" i="37"/>
  <c r="BA322" i="37" s="1"/>
  <c r="AY322" i="37"/>
  <c r="Z322" i="37"/>
  <c r="BO321" i="37"/>
  <c r="BP321" i="37" s="1"/>
  <c r="BL321" i="37"/>
  <c r="BN321" i="37" s="1"/>
  <c r="BI321" i="37"/>
  <c r="BK321" i="37" s="1"/>
  <c r="BH321" i="37"/>
  <c r="BC321" i="37"/>
  <c r="BD321" i="37" s="1"/>
  <c r="AZ321" i="37"/>
  <c r="BB321" i="37" s="1"/>
  <c r="AY321" i="37"/>
  <c r="Z321" i="37"/>
  <c r="BO314" i="37"/>
  <c r="BQ314" i="37" s="1"/>
  <c r="BL314" i="37"/>
  <c r="BN314" i="37" s="1"/>
  <c r="BI314" i="37"/>
  <c r="BK314" i="37" s="1"/>
  <c r="BG314" i="37"/>
  <c r="BC314" i="37"/>
  <c r="BE314" i="37" s="1"/>
  <c r="AZ314" i="37"/>
  <c r="BB314" i="37" s="1"/>
  <c r="AY314" i="37"/>
  <c r="Z314" i="37"/>
  <c r="BO313" i="37"/>
  <c r="BQ313" i="37" s="1"/>
  <c r="BL313" i="37"/>
  <c r="BN313" i="37" s="1"/>
  <c r="BI313" i="37"/>
  <c r="BJ313" i="37" s="1"/>
  <c r="BH313" i="37"/>
  <c r="BC313" i="37"/>
  <c r="BE313" i="37" s="1"/>
  <c r="AZ313" i="37"/>
  <c r="BB313" i="37" s="1"/>
  <c r="AY313" i="37"/>
  <c r="Z313" i="37"/>
  <c r="BO312" i="37"/>
  <c r="BP312" i="37" s="1"/>
  <c r="BL312" i="37"/>
  <c r="BM312" i="37" s="1"/>
  <c r="BI312" i="37"/>
  <c r="BK312" i="37" s="1"/>
  <c r="BH312" i="37"/>
  <c r="BC312" i="37"/>
  <c r="BD312" i="37" s="1"/>
  <c r="AZ312" i="37"/>
  <c r="BA312" i="37" s="1"/>
  <c r="AY312" i="37"/>
  <c r="Z312" i="37"/>
  <c r="BO311" i="37"/>
  <c r="BP311" i="37" s="1"/>
  <c r="BL311" i="37"/>
  <c r="BN311" i="37" s="1"/>
  <c r="BI311" i="37"/>
  <c r="BK311" i="37" s="1"/>
  <c r="BG311" i="37"/>
  <c r="BC311" i="37"/>
  <c r="BD311" i="37" s="1"/>
  <c r="AZ311" i="37"/>
  <c r="BB311" i="37" s="1"/>
  <c r="AY311" i="37"/>
  <c r="Z311" i="37"/>
  <c r="BO310" i="37"/>
  <c r="BQ310" i="37" s="1"/>
  <c r="BL310" i="37"/>
  <c r="BN310" i="37" s="1"/>
  <c r="BI310" i="37"/>
  <c r="BJ310" i="37" s="1"/>
  <c r="BG310" i="37"/>
  <c r="BC310" i="37"/>
  <c r="BE310" i="37" s="1"/>
  <c r="AZ310" i="37"/>
  <c r="BB310" i="37" s="1"/>
  <c r="AY310" i="37"/>
  <c r="Z310" i="37"/>
  <c r="BO309" i="37"/>
  <c r="BQ309" i="37" s="1"/>
  <c r="BL309" i="37"/>
  <c r="BN309" i="37" s="1"/>
  <c r="BI309" i="37"/>
  <c r="BJ309" i="37" s="1"/>
  <c r="BH309" i="37"/>
  <c r="BC309" i="37"/>
  <c r="BE309" i="37" s="1"/>
  <c r="AZ309" i="37"/>
  <c r="BB309" i="37" s="1"/>
  <c r="AY309" i="37"/>
  <c r="Z309" i="37"/>
  <c r="BO308" i="37"/>
  <c r="BQ308" i="37" s="1"/>
  <c r="BL308" i="37"/>
  <c r="BM308" i="37" s="1"/>
  <c r="BI308" i="37"/>
  <c r="BK308" i="37" s="1"/>
  <c r="BH308" i="37"/>
  <c r="BC308" i="37"/>
  <c r="BE308" i="37" s="1"/>
  <c r="AZ308" i="37"/>
  <c r="BA308" i="37" s="1"/>
  <c r="AY308" i="37"/>
  <c r="Z308" i="37"/>
  <c r="BO307" i="37"/>
  <c r="BP307" i="37" s="1"/>
  <c r="BL307" i="37"/>
  <c r="BN307" i="37" s="1"/>
  <c r="BI307" i="37"/>
  <c r="BK307" i="37" s="1"/>
  <c r="BH307" i="37"/>
  <c r="BC307" i="37"/>
  <c r="BD307" i="37" s="1"/>
  <c r="AZ307" i="37"/>
  <c r="BB307" i="37" s="1"/>
  <c r="AY307" i="37"/>
  <c r="Z307" i="37"/>
  <c r="BO306" i="37"/>
  <c r="BQ306" i="37" s="1"/>
  <c r="BL306" i="37"/>
  <c r="BN306" i="37" s="1"/>
  <c r="BI306" i="37"/>
  <c r="BK306" i="37" s="1"/>
  <c r="BG306" i="37"/>
  <c r="BC306" i="37"/>
  <c r="BE306" i="37" s="1"/>
  <c r="AZ306" i="37"/>
  <c r="BB306" i="37" s="1"/>
  <c r="AY306" i="37"/>
  <c r="Z306" i="37"/>
  <c r="BO305" i="37"/>
  <c r="BQ305" i="37" s="1"/>
  <c r="BL305" i="37"/>
  <c r="BN305" i="37" s="1"/>
  <c r="BI305" i="37"/>
  <c r="BJ305" i="37" s="1"/>
  <c r="BH305" i="37"/>
  <c r="BC305" i="37"/>
  <c r="BE305" i="37" s="1"/>
  <c r="AZ305" i="37"/>
  <c r="BB305" i="37" s="1"/>
  <c r="AY305" i="37"/>
  <c r="Z305" i="37"/>
  <c r="BO298" i="37"/>
  <c r="BP298" i="37" s="1"/>
  <c r="BL298" i="37"/>
  <c r="BM298" i="37" s="1"/>
  <c r="BI298" i="37"/>
  <c r="BK298" i="37" s="1"/>
  <c r="BH298" i="37"/>
  <c r="BC298" i="37"/>
  <c r="BD298" i="37" s="1"/>
  <c r="AZ298" i="37"/>
  <c r="BA298" i="37" s="1"/>
  <c r="AY298" i="37"/>
  <c r="Z298" i="37"/>
  <c r="BO297" i="37"/>
  <c r="BP297" i="37" s="1"/>
  <c r="BL297" i="37"/>
  <c r="BN297" i="37" s="1"/>
  <c r="BI297" i="37"/>
  <c r="BK297" i="37" s="1"/>
  <c r="BG297" i="37"/>
  <c r="BC297" i="37"/>
  <c r="BD297" i="37" s="1"/>
  <c r="AZ297" i="37"/>
  <c r="BB297" i="37" s="1"/>
  <c r="AY297" i="37"/>
  <c r="Z297" i="37"/>
  <c r="BO296" i="37"/>
  <c r="BQ296" i="37" s="1"/>
  <c r="BL296" i="37"/>
  <c r="BN296" i="37" s="1"/>
  <c r="BI296" i="37"/>
  <c r="BJ296" i="37" s="1"/>
  <c r="BG296" i="37"/>
  <c r="BC296" i="37"/>
  <c r="BE296" i="37" s="1"/>
  <c r="AZ296" i="37"/>
  <c r="BB296" i="37" s="1"/>
  <c r="AY296" i="37"/>
  <c r="Z296" i="37"/>
  <c r="BO295" i="37"/>
  <c r="BQ295" i="37" s="1"/>
  <c r="BL295" i="37"/>
  <c r="BN295" i="37" s="1"/>
  <c r="BI295" i="37"/>
  <c r="BJ295" i="37" s="1"/>
  <c r="BH295" i="37"/>
  <c r="BC295" i="37"/>
  <c r="BE295" i="37" s="1"/>
  <c r="AZ295" i="37"/>
  <c r="BB295" i="37" s="1"/>
  <c r="AY295" i="37"/>
  <c r="Z295" i="37"/>
  <c r="BO294" i="37"/>
  <c r="BQ294" i="37" s="1"/>
  <c r="BL294" i="37"/>
  <c r="BM294" i="37" s="1"/>
  <c r="BI294" i="37"/>
  <c r="BK294" i="37" s="1"/>
  <c r="BH294" i="37"/>
  <c r="BC294" i="37"/>
  <c r="BE294" i="37" s="1"/>
  <c r="AZ294" i="37"/>
  <c r="BA294" i="37" s="1"/>
  <c r="AY294" i="37"/>
  <c r="Z294" i="37"/>
  <c r="BO293" i="37"/>
  <c r="BP293" i="37" s="1"/>
  <c r="BL293" i="37"/>
  <c r="BN293" i="37" s="1"/>
  <c r="BI293" i="37"/>
  <c r="BK293" i="37" s="1"/>
  <c r="BH293" i="37"/>
  <c r="BC293" i="37"/>
  <c r="BD293" i="37" s="1"/>
  <c r="AZ293" i="37"/>
  <c r="BB293" i="37" s="1"/>
  <c r="AY293" i="37"/>
  <c r="Z293" i="37"/>
  <c r="BO290" i="37"/>
  <c r="BP290" i="37" s="1"/>
  <c r="BL290" i="37"/>
  <c r="BN290" i="37" s="1"/>
  <c r="BQ290" i="37" s="1"/>
  <c r="BI290" i="37"/>
  <c r="BJ290" i="37" s="1"/>
  <c r="BG290" i="37"/>
  <c r="AY290" i="37"/>
  <c r="AZ290" i="37" s="1"/>
  <c r="BA290" i="37" s="1"/>
  <c r="Z290" i="37"/>
  <c r="BO289" i="37"/>
  <c r="BP289" i="37" s="1"/>
  <c r="BL289" i="37"/>
  <c r="BM289" i="37" s="1"/>
  <c r="BI289" i="37"/>
  <c r="BJ289" i="37" s="1"/>
  <c r="BH289" i="37"/>
  <c r="BK289" i="37" s="1"/>
  <c r="AY289" i="37"/>
  <c r="AZ289" i="37" s="1"/>
  <c r="BA289" i="37" s="1"/>
  <c r="Z289" i="37"/>
  <c r="AY122" i="37"/>
  <c r="AZ122" i="37" s="1"/>
  <c r="J122" i="37"/>
  <c r="AY121" i="37"/>
  <c r="AZ121" i="37" s="1"/>
  <c r="J121" i="37"/>
  <c r="AY120" i="37"/>
  <c r="AZ120" i="37" s="1"/>
  <c r="J120" i="37"/>
  <c r="AY119" i="37"/>
  <c r="AZ119" i="37" s="1"/>
  <c r="J119" i="37"/>
  <c r="AY118" i="37"/>
  <c r="AZ118" i="37" s="1"/>
  <c r="J118" i="37"/>
  <c r="AY117" i="37"/>
  <c r="AZ117" i="37" s="1"/>
  <c r="J117" i="37"/>
  <c r="AY116" i="37"/>
  <c r="AZ116" i="37" s="1"/>
  <c r="J116" i="37"/>
  <c r="AY115" i="37"/>
  <c r="AZ115" i="37" s="1"/>
  <c r="J115" i="37"/>
  <c r="AY114" i="37"/>
  <c r="AZ114" i="37" s="1"/>
  <c r="J114" i="37"/>
  <c r="AY113" i="37"/>
  <c r="AZ113" i="37" s="1"/>
  <c r="J113" i="37"/>
  <c r="AY112" i="37"/>
  <c r="AZ112" i="37" s="1"/>
  <c r="J112" i="37"/>
  <c r="AY111" i="37"/>
  <c r="AZ111" i="37" s="1"/>
  <c r="J111" i="37"/>
  <c r="AY110" i="37"/>
  <c r="AZ110" i="37" s="1"/>
  <c r="J110" i="37"/>
  <c r="AY109" i="37"/>
  <c r="AZ109" i="37" s="1"/>
  <c r="J109" i="37"/>
  <c r="AY108" i="37"/>
  <c r="AZ108" i="37" s="1"/>
  <c r="J108" i="37"/>
  <c r="AY107" i="37"/>
  <c r="AZ107" i="37" s="1"/>
  <c r="J107" i="37"/>
  <c r="AY106" i="37"/>
  <c r="AZ106" i="37" s="1"/>
  <c r="J106" i="37"/>
  <c r="AY105" i="37"/>
  <c r="AZ105" i="37" s="1"/>
  <c r="J105" i="37"/>
  <c r="AY104" i="37"/>
  <c r="AZ104" i="37" s="1"/>
  <c r="V104" i="37"/>
  <c r="AA104" i="37" s="1"/>
  <c r="U104" i="37"/>
  <c r="Z104" i="37" s="1"/>
  <c r="J104" i="37"/>
  <c r="AY103" i="37"/>
  <c r="AZ103" i="37" s="1"/>
  <c r="V103" i="37"/>
  <c r="AA103" i="37" s="1"/>
  <c r="U103" i="37"/>
  <c r="Z103" i="37" s="1"/>
  <c r="J103" i="37"/>
  <c r="AY102" i="37"/>
  <c r="AZ102" i="37" s="1"/>
  <c r="V102" i="37"/>
  <c r="AA102" i="37" s="1"/>
  <c r="U102" i="37"/>
  <c r="Z102" i="37" s="1"/>
  <c r="J102" i="37"/>
  <c r="AY101" i="37"/>
  <c r="AZ101" i="37" s="1"/>
  <c r="V101" i="37"/>
  <c r="AA101" i="37" s="1"/>
  <c r="U101" i="37"/>
  <c r="Z101" i="37" s="1"/>
  <c r="J101" i="37"/>
  <c r="AY100" i="37"/>
  <c r="AZ100" i="37" s="1"/>
  <c r="V100" i="37"/>
  <c r="AA100" i="37" s="1"/>
  <c r="U100" i="37"/>
  <c r="Z100" i="37" s="1"/>
  <c r="J100" i="37"/>
  <c r="AY99" i="37"/>
  <c r="AZ99" i="37" s="1"/>
  <c r="V99" i="37"/>
  <c r="AA99" i="37" s="1"/>
  <c r="U99" i="37"/>
  <c r="Z99" i="37" s="1"/>
  <c r="J99" i="37"/>
  <c r="AY98" i="37"/>
  <c r="AZ98" i="37" s="1"/>
  <c r="V98" i="37"/>
  <c r="AA98" i="37" s="1"/>
  <c r="U98" i="37"/>
  <c r="Z98" i="37" s="1"/>
  <c r="J98" i="37"/>
  <c r="AY97" i="37"/>
  <c r="AZ97" i="37" s="1"/>
  <c r="V97" i="37"/>
  <c r="AA97" i="37" s="1"/>
  <c r="U97" i="37"/>
  <c r="Z97" i="37" s="1"/>
  <c r="J97" i="37"/>
  <c r="AY96" i="37"/>
  <c r="AZ96" i="37" s="1"/>
  <c r="V96" i="37"/>
  <c r="AA96" i="37" s="1"/>
  <c r="U96" i="37"/>
  <c r="Z96" i="37" s="1"/>
  <c r="J96" i="37"/>
  <c r="AY95" i="37"/>
  <c r="AZ95" i="37" s="1"/>
  <c r="V95" i="37"/>
  <c r="AA95" i="37" s="1"/>
  <c r="U95" i="37"/>
  <c r="Z95" i="37" s="1"/>
  <c r="J95" i="37"/>
  <c r="AY94" i="37"/>
  <c r="AZ94" i="37" s="1"/>
  <c r="V94" i="37"/>
  <c r="AA94" i="37" s="1"/>
  <c r="U94" i="37"/>
  <c r="Z94" i="37" s="1"/>
  <c r="J94" i="37"/>
  <c r="AY93" i="37"/>
  <c r="AZ93" i="37" s="1"/>
  <c r="V93" i="37"/>
  <c r="AA93" i="37" s="1"/>
  <c r="U93" i="37"/>
  <c r="Z93" i="37" s="1"/>
  <c r="J93" i="37"/>
  <c r="AY92" i="37"/>
  <c r="AZ92" i="37" s="1"/>
  <c r="V92" i="37"/>
  <c r="AA92" i="37" s="1"/>
  <c r="U92" i="37"/>
  <c r="Z92" i="37" s="1"/>
  <c r="J92" i="37"/>
  <c r="AY91" i="37"/>
  <c r="AZ91" i="37" s="1"/>
  <c r="V91" i="37"/>
  <c r="AA91" i="37" s="1"/>
  <c r="U91" i="37"/>
  <c r="Z91" i="37" s="1"/>
  <c r="J91" i="37"/>
  <c r="AY90" i="37"/>
  <c r="AZ90" i="37" s="1"/>
  <c r="V90" i="37"/>
  <c r="AA90" i="37" s="1"/>
  <c r="U90" i="37"/>
  <c r="Z90" i="37" s="1"/>
  <c r="J90" i="37"/>
  <c r="AY89" i="37"/>
  <c r="AZ89" i="37" s="1"/>
  <c r="V89" i="37"/>
  <c r="AA89" i="37" s="1"/>
  <c r="U89" i="37"/>
  <c r="Z89" i="37" s="1"/>
  <c r="J89" i="37"/>
  <c r="AY88" i="37"/>
  <c r="AZ88" i="37" s="1"/>
  <c r="V88" i="37"/>
  <c r="AA88" i="37" s="1"/>
  <c r="U88" i="37"/>
  <c r="Z88" i="37" s="1"/>
  <c r="J88" i="37"/>
  <c r="V87" i="37"/>
  <c r="V105" i="37" s="1"/>
  <c r="U87" i="37"/>
  <c r="U105" i="37" s="1"/>
  <c r="J87" i="37"/>
  <c r="AY87" i="37"/>
  <c r="AZ87" i="37" s="1"/>
  <c r="AY86" i="37"/>
  <c r="AZ86" i="37" s="1"/>
  <c r="AA86" i="37"/>
  <c r="Z86" i="37"/>
  <c r="J86" i="37"/>
  <c r="AY85" i="37"/>
  <c r="AZ85" i="37" s="1"/>
  <c r="AA85" i="37"/>
  <c r="Z85" i="37"/>
  <c r="J85" i="37"/>
  <c r="AY84" i="37"/>
  <c r="AZ84" i="37" s="1"/>
  <c r="AA84" i="37"/>
  <c r="Z84" i="37"/>
  <c r="J84" i="37"/>
  <c r="AY83" i="37"/>
  <c r="AZ83" i="37" s="1"/>
  <c r="AA83" i="37"/>
  <c r="Z83" i="37"/>
  <c r="J83" i="37"/>
  <c r="AY82" i="37"/>
  <c r="AZ82" i="37" s="1"/>
  <c r="AA82" i="37"/>
  <c r="Z82" i="37"/>
  <c r="J82" i="37"/>
  <c r="AY81" i="37"/>
  <c r="AZ81" i="37" s="1"/>
  <c r="AA81" i="37"/>
  <c r="Z81" i="37"/>
  <c r="J81" i="37"/>
  <c r="AY80" i="37"/>
  <c r="AZ80" i="37" s="1"/>
  <c r="AA80" i="37"/>
  <c r="Z80" i="37"/>
  <c r="J80" i="37"/>
  <c r="AY79" i="37"/>
  <c r="AZ79" i="37" s="1"/>
  <c r="AA79" i="37"/>
  <c r="Z79" i="37"/>
  <c r="J79" i="37"/>
  <c r="AY78" i="37"/>
  <c r="AZ78" i="37" s="1"/>
  <c r="AA78" i="37"/>
  <c r="Z78" i="37"/>
  <c r="J78" i="37"/>
  <c r="AY69" i="37"/>
  <c r="AZ69" i="37" s="1"/>
  <c r="AA69" i="37"/>
  <c r="Z69" i="37"/>
  <c r="J69" i="37"/>
  <c r="X69" i="37" s="1"/>
  <c r="AY77" i="37"/>
  <c r="AZ77" i="37" s="1"/>
  <c r="AA77" i="37"/>
  <c r="Z77" i="37"/>
  <c r="AY76" i="37"/>
  <c r="AZ76" i="37" s="1"/>
  <c r="AA76" i="37"/>
  <c r="Z76" i="37"/>
  <c r="AY75" i="37"/>
  <c r="AZ75" i="37" s="1"/>
  <c r="AA75" i="37"/>
  <c r="Z75" i="37"/>
  <c r="AY74" i="37"/>
  <c r="AZ74" i="37" s="1"/>
  <c r="AA74" i="37"/>
  <c r="Z74" i="37"/>
  <c r="AY73" i="37"/>
  <c r="AZ73" i="37" s="1"/>
  <c r="AA73" i="37"/>
  <c r="Z73" i="37"/>
  <c r="AY72" i="37"/>
  <c r="AZ72" i="37" s="1"/>
  <c r="AA72" i="37"/>
  <c r="Z72" i="37"/>
  <c r="AY71" i="37"/>
  <c r="AZ71" i="37" s="1"/>
  <c r="AA71" i="37"/>
  <c r="Z71" i="37"/>
  <c r="AY70" i="37"/>
  <c r="AZ70" i="37" s="1"/>
  <c r="AA70" i="37"/>
  <c r="Z70" i="37"/>
  <c r="J77" i="37"/>
  <c r="J76" i="37"/>
  <c r="J75" i="37"/>
  <c r="J74" i="37"/>
  <c r="J73" i="37"/>
  <c r="X73" i="37" s="1"/>
  <c r="J72" i="37"/>
  <c r="X72" i="37" s="1"/>
  <c r="J71" i="37"/>
  <c r="X71" i="37" s="1"/>
  <c r="J70" i="37"/>
  <c r="X70" i="37" s="1"/>
  <c r="BO287" i="37"/>
  <c r="BQ287" i="37" s="1"/>
  <c r="BL287" i="37"/>
  <c r="BM287" i="37" s="1"/>
  <c r="BI287" i="37"/>
  <c r="BK287" i="37" s="1"/>
  <c r="BH287" i="37"/>
  <c r="BC287" i="37"/>
  <c r="BD287" i="37" s="1"/>
  <c r="AZ287" i="37"/>
  <c r="BB287" i="37" s="1"/>
  <c r="AY287" i="37"/>
  <c r="Z287" i="37"/>
  <c r="BO286" i="37"/>
  <c r="BQ286" i="37" s="1"/>
  <c r="BL286" i="37"/>
  <c r="BN286" i="37" s="1"/>
  <c r="BI286" i="37"/>
  <c r="BJ286" i="37" s="1"/>
  <c r="BH286" i="37"/>
  <c r="BC286" i="37"/>
  <c r="BE286" i="37" s="1"/>
  <c r="AZ286" i="37"/>
  <c r="BB286" i="37" s="1"/>
  <c r="AY286" i="37"/>
  <c r="Z286" i="37"/>
  <c r="BO285" i="37"/>
  <c r="BP285" i="37" s="1"/>
  <c r="BL285" i="37"/>
  <c r="BM285" i="37" s="1"/>
  <c r="BI285" i="37"/>
  <c r="BK285" i="37" s="1"/>
  <c r="BH285" i="37"/>
  <c r="BC285" i="37"/>
  <c r="BD285" i="37" s="1"/>
  <c r="AZ285" i="37"/>
  <c r="BB285" i="37" s="1"/>
  <c r="AY285" i="37"/>
  <c r="Z285" i="37"/>
  <c r="BO284" i="37"/>
  <c r="BQ284" i="37" s="1"/>
  <c r="BL284" i="37"/>
  <c r="BN284" i="37" s="1"/>
  <c r="BI284" i="37"/>
  <c r="BJ284" i="37" s="1"/>
  <c r="BH284" i="37"/>
  <c r="BC284" i="37"/>
  <c r="BE284" i="37" s="1"/>
  <c r="AZ284" i="37"/>
  <c r="BB284" i="37" s="1"/>
  <c r="AY284" i="37"/>
  <c r="Z284" i="37"/>
  <c r="BO283" i="37"/>
  <c r="BP283" i="37" s="1"/>
  <c r="BL283" i="37"/>
  <c r="BN283" i="37" s="1"/>
  <c r="BI283" i="37"/>
  <c r="BK283" i="37" s="1"/>
  <c r="BH283" i="37"/>
  <c r="BC283" i="37"/>
  <c r="BD283" i="37" s="1"/>
  <c r="AZ283" i="37"/>
  <c r="BB283" i="37" s="1"/>
  <c r="AY283" i="37"/>
  <c r="Z283" i="37"/>
  <c r="BO282" i="37"/>
  <c r="BQ282" i="37" s="1"/>
  <c r="BL282" i="37"/>
  <c r="BN282" i="37" s="1"/>
  <c r="BI282" i="37"/>
  <c r="BJ282" i="37" s="1"/>
  <c r="BH282" i="37"/>
  <c r="BC282" i="37"/>
  <c r="BE282" i="37" s="1"/>
  <c r="AZ282" i="37"/>
  <c r="BB282" i="37" s="1"/>
  <c r="AY282" i="37"/>
  <c r="Z282" i="37"/>
  <c r="BO281" i="37"/>
  <c r="BP281" i="37" s="1"/>
  <c r="BL281" i="37"/>
  <c r="BM281" i="37" s="1"/>
  <c r="BI281" i="37"/>
  <c r="BK281" i="37" s="1"/>
  <c r="BH281" i="37"/>
  <c r="BC281" i="37"/>
  <c r="BD281" i="37" s="1"/>
  <c r="AZ281" i="37"/>
  <c r="BA281" i="37" s="1"/>
  <c r="AY281" i="37"/>
  <c r="Z281" i="37"/>
  <c r="BO280" i="37"/>
  <c r="BQ280" i="37" s="1"/>
  <c r="BL280" i="37"/>
  <c r="BN280" i="37" s="1"/>
  <c r="BI280" i="37"/>
  <c r="BJ280" i="37" s="1"/>
  <c r="BH280" i="37"/>
  <c r="BC280" i="37"/>
  <c r="BE280" i="37" s="1"/>
  <c r="AZ280" i="37"/>
  <c r="BB280" i="37" s="1"/>
  <c r="AY280" i="37"/>
  <c r="Z280" i="37"/>
  <c r="BO279" i="37"/>
  <c r="BP279" i="37" s="1"/>
  <c r="BL279" i="37"/>
  <c r="BM279" i="37" s="1"/>
  <c r="BI279" i="37"/>
  <c r="BK279" i="37" s="1"/>
  <c r="BH279" i="37"/>
  <c r="BC279" i="37"/>
  <c r="BD279" i="37" s="1"/>
  <c r="AZ279" i="37"/>
  <c r="BB279" i="37" s="1"/>
  <c r="AY279" i="37"/>
  <c r="Z279" i="37"/>
  <c r="BO278" i="37"/>
  <c r="BQ278" i="37" s="1"/>
  <c r="BL278" i="37"/>
  <c r="BN278" i="37" s="1"/>
  <c r="BI278" i="37"/>
  <c r="BJ278" i="37" s="1"/>
  <c r="BH278" i="37"/>
  <c r="BC278" i="37"/>
  <c r="BE278" i="37" s="1"/>
  <c r="AZ278" i="37"/>
  <c r="BB278" i="37" s="1"/>
  <c r="AY278" i="37"/>
  <c r="Z278" i="37"/>
  <c r="BO277" i="37"/>
  <c r="BQ277" i="37" s="1"/>
  <c r="BL277" i="37"/>
  <c r="BM277" i="37" s="1"/>
  <c r="BI277" i="37"/>
  <c r="BK277" i="37" s="1"/>
  <c r="BH277" i="37"/>
  <c r="BC277" i="37"/>
  <c r="BE277" i="37" s="1"/>
  <c r="AZ277" i="37"/>
  <c r="BB277" i="37" s="1"/>
  <c r="AY277" i="37"/>
  <c r="Z277" i="37"/>
  <c r="BO276" i="37"/>
  <c r="BQ276" i="37" s="1"/>
  <c r="BL276" i="37"/>
  <c r="BN276" i="37" s="1"/>
  <c r="BI276" i="37"/>
  <c r="BK276" i="37" s="1"/>
  <c r="BG276" i="37"/>
  <c r="BC276" i="37"/>
  <c r="BE276" i="37" s="1"/>
  <c r="AZ276" i="37"/>
  <c r="BB276" i="37" s="1"/>
  <c r="AY276" i="37"/>
  <c r="Z276" i="37"/>
  <c r="BO275" i="37"/>
  <c r="BQ275" i="37" s="1"/>
  <c r="BL275" i="37"/>
  <c r="BM275" i="37" s="1"/>
  <c r="BI275" i="37"/>
  <c r="BK275" i="37" s="1"/>
  <c r="BH275" i="37"/>
  <c r="BC275" i="37"/>
  <c r="BE275" i="37" s="1"/>
  <c r="AZ275" i="37"/>
  <c r="BA275" i="37" s="1"/>
  <c r="AY275" i="37"/>
  <c r="Z275" i="37"/>
  <c r="BO274" i="37"/>
  <c r="BQ274" i="37" s="1"/>
  <c r="BL274" i="37"/>
  <c r="BN274" i="37" s="1"/>
  <c r="BI274" i="37"/>
  <c r="BK274" i="37" s="1"/>
  <c r="BH274" i="37"/>
  <c r="BC274" i="37"/>
  <c r="BE274" i="37" s="1"/>
  <c r="AZ274" i="37"/>
  <c r="BB274" i="37" s="1"/>
  <c r="AY274" i="37"/>
  <c r="Z274" i="37"/>
  <c r="BO273" i="37"/>
  <c r="BQ273" i="37" s="1"/>
  <c r="BL273" i="37"/>
  <c r="BN273" i="37" s="1"/>
  <c r="BI273" i="37"/>
  <c r="BJ273" i="37" s="1"/>
  <c r="BH273" i="37"/>
  <c r="BC273" i="37"/>
  <c r="BE273" i="37" s="1"/>
  <c r="AZ273" i="37"/>
  <c r="BA273" i="37" s="1"/>
  <c r="AY273" i="37"/>
  <c r="Z273" i="37"/>
  <c r="BO272" i="37"/>
  <c r="BQ272" i="37" s="1"/>
  <c r="BL272" i="37"/>
  <c r="BN272" i="37" s="1"/>
  <c r="BI272" i="37"/>
  <c r="BK272" i="37" s="1"/>
  <c r="BH272" i="37"/>
  <c r="BC272" i="37"/>
  <c r="BE272" i="37" s="1"/>
  <c r="AZ272" i="37"/>
  <c r="BB272" i="37" s="1"/>
  <c r="AY272" i="37"/>
  <c r="Z272" i="37"/>
  <c r="BO271" i="37"/>
  <c r="BQ271" i="37" s="1"/>
  <c r="BL271" i="37"/>
  <c r="BM271" i="37" s="1"/>
  <c r="BI271" i="37"/>
  <c r="BK271" i="37" s="1"/>
  <c r="BH271" i="37"/>
  <c r="BC271" i="37"/>
  <c r="BE271" i="37" s="1"/>
  <c r="AZ271" i="37"/>
  <c r="BA271" i="37" s="1"/>
  <c r="AY271" i="37"/>
  <c r="Z271" i="37"/>
  <c r="BO270" i="37"/>
  <c r="BQ270" i="37" s="1"/>
  <c r="BL270" i="37"/>
  <c r="BN270" i="37" s="1"/>
  <c r="BI270" i="37"/>
  <c r="BK270" i="37" s="1"/>
  <c r="BG270" i="37"/>
  <c r="BC270" i="37"/>
  <c r="BD270" i="37" s="1"/>
  <c r="AZ270" i="37"/>
  <c r="BB270" i="37" s="1"/>
  <c r="AY270" i="37"/>
  <c r="Z270" i="37"/>
  <c r="BO269" i="37"/>
  <c r="BQ269" i="37" s="1"/>
  <c r="BL269" i="37"/>
  <c r="BM269" i="37" s="1"/>
  <c r="BI269" i="37"/>
  <c r="BK269" i="37" s="1"/>
  <c r="BH269" i="37"/>
  <c r="BC269" i="37"/>
  <c r="BE269" i="37" s="1"/>
  <c r="AZ269" i="37"/>
  <c r="BA269" i="37" s="1"/>
  <c r="AY269" i="37"/>
  <c r="Z269" i="37"/>
  <c r="BO268" i="37"/>
  <c r="BQ268" i="37" s="1"/>
  <c r="BL268" i="37"/>
  <c r="BN268" i="37" s="1"/>
  <c r="BI268" i="37"/>
  <c r="BK268" i="37" s="1"/>
  <c r="BG268" i="37"/>
  <c r="BC268" i="37"/>
  <c r="BE268" i="37" s="1"/>
  <c r="AZ268" i="37"/>
  <c r="BB268" i="37" s="1"/>
  <c r="AY268" i="37"/>
  <c r="Z268" i="37"/>
  <c r="BO267" i="37"/>
  <c r="BQ267" i="37" s="1"/>
  <c r="BL267" i="37"/>
  <c r="BM267" i="37" s="1"/>
  <c r="BI267" i="37"/>
  <c r="BJ267" i="37" s="1"/>
  <c r="BH267" i="37"/>
  <c r="BC267" i="37"/>
  <c r="BE267" i="37" s="1"/>
  <c r="AZ267" i="37"/>
  <c r="BA267" i="37" s="1"/>
  <c r="AY267" i="37"/>
  <c r="Z267" i="37"/>
  <c r="BO266" i="37"/>
  <c r="BQ266" i="37" s="1"/>
  <c r="BL266" i="37"/>
  <c r="BN266" i="37" s="1"/>
  <c r="BI266" i="37"/>
  <c r="BK266" i="37" s="1"/>
  <c r="BG266" i="37"/>
  <c r="BC266" i="37"/>
  <c r="BE266" i="37" s="1"/>
  <c r="AZ266" i="37"/>
  <c r="BB266" i="37" s="1"/>
  <c r="AY266" i="37"/>
  <c r="Z266" i="37"/>
  <c r="BO265" i="37"/>
  <c r="BQ265" i="37" s="1"/>
  <c r="BL265" i="37"/>
  <c r="BM265" i="37" s="1"/>
  <c r="BI265" i="37"/>
  <c r="BK265" i="37" s="1"/>
  <c r="BH265" i="37"/>
  <c r="BC265" i="37"/>
  <c r="BE265" i="37" s="1"/>
  <c r="AZ265" i="37"/>
  <c r="BA265" i="37" s="1"/>
  <c r="AY265" i="37"/>
  <c r="Z265" i="37"/>
  <c r="BO264" i="37"/>
  <c r="BQ264" i="37" s="1"/>
  <c r="BL264" i="37"/>
  <c r="BN264" i="37" s="1"/>
  <c r="BI264" i="37"/>
  <c r="BK264" i="37" s="1"/>
  <c r="BG264" i="37"/>
  <c r="BC264" i="37"/>
  <c r="BE264" i="37" s="1"/>
  <c r="AZ264" i="37"/>
  <c r="BB264" i="37" s="1"/>
  <c r="AY264" i="37"/>
  <c r="Z264" i="37"/>
  <c r="BO261" i="37"/>
  <c r="BP261" i="37" s="1"/>
  <c r="BL261" i="37"/>
  <c r="BM261" i="37" s="1"/>
  <c r="BI261" i="37"/>
  <c r="BK261" i="37" s="1"/>
  <c r="BG261" i="37"/>
  <c r="BC261" i="37"/>
  <c r="BE261" i="37" s="1"/>
  <c r="AZ261" i="37"/>
  <c r="BA261" i="37" s="1"/>
  <c r="AY261" i="37"/>
  <c r="Z261" i="37"/>
  <c r="BO258" i="37"/>
  <c r="BQ258" i="37" s="1"/>
  <c r="BL258" i="37"/>
  <c r="BM258" i="37" s="1"/>
  <c r="BI258" i="37"/>
  <c r="BK258" i="37" s="1"/>
  <c r="BG258" i="37"/>
  <c r="BC258" i="37"/>
  <c r="BE258" i="37" s="1"/>
  <c r="AZ258" i="37"/>
  <c r="BA258" i="37" s="1"/>
  <c r="AY258" i="37"/>
  <c r="Z258" i="37"/>
  <c r="AY58" i="37"/>
  <c r="AZ58" i="37" s="1"/>
  <c r="AA58" i="37"/>
  <c r="Z58" i="37"/>
  <c r="AY43" i="37"/>
  <c r="AZ43" i="37" s="1"/>
  <c r="Z43" i="37"/>
  <c r="AY28" i="37"/>
  <c r="AZ28" i="37" s="1"/>
  <c r="Z28" i="37"/>
  <c r="AY13" i="37"/>
  <c r="AZ13" i="37" s="1"/>
  <c r="AA13" i="37"/>
  <c r="Z13" i="37"/>
  <c r="J13" i="37"/>
  <c r="BO263" i="37"/>
  <c r="BP263" i="37" s="1"/>
  <c r="BL263" i="37"/>
  <c r="BI263" i="37"/>
  <c r="BK263" i="37" s="1"/>
  <c r="BG263" i="37"/>
  <c r="BC263" i="37"/>
  <c r="AZ263" i="37"/>
  <c r="BA263" i="37" s="1"/>
  <c r="AY263" i="37"/>
  <c r="Z263" i="37"/>
  <c r="BO262" i="37"/>
  <c r="BQ262" i="37" s="1"/>
  <c r="BL262" i="37"/>
  <c r="BM262" i="37" s="1"/>
  <c r="BI262" i="37"/>
  <c r="BJ262" i="37" s="1"/>
  <c r="BC262" i="37"/>
  <c r="BE262" i="37" s="1"/>
  <c r="AZ262" i="37"/>
  <c r="BA262" i="37" s="1"/>
  <c r="AY262" i="37"/>
  <c r="Z262" i="37"/>
  <c r="BO260" i="37"/>
  <c r="BP260" i="37" s="1"/>
  <c r="BL260" i="37"/>
  <c r="BM260" i="37" s="1"/>
  <c r="BI260" i="37"/>
  <c r="BK260" i="37" s="1"/>
  <c r="BG260" i="37"/>
  <c r="BC260" i="37"/>
  <c r="AZ260" i="37"/>
  <c r="BA260" i="37" s="1"/>
  <c r="AY260" i="37"/>
  <c r="Z260" i="37"/>
  <c r="BO259" i="37"/>
  <c r="BQ259" i="37" s="1"/>
  <c r="BL259" i="37"/>
  <c r="BM259" i="37" s="1"/>
  <c r="BI259" i="37"/>
  <c r="BJ259" i="37" s="1"/>
  <c r="BC259" i="37"/>
  <c r="BE259" i="37" s="1"/>
  <c r="AZ259" i="37"/>
  <c r="BA259" i="37" s="1"/>
  <c r="AY259" i="37"/>
  <c r="Z259" i="37"/>
  <c r="BO257" i="37"/>
  <c r="BP257" i="37" s="1"/>
  <c r="BL257" i="37"/>
  <c r="BM257" i="37" s="1"/>
  <c r="BI257" i="37"/>
  <c r="BK257" i="37" s="1"/>
  <c r="BG257" i="37"/>
  <c r="BC257" i="37"/>
  <c r="AZ257" i="37"/>
  <c r="BB257" i="37" s="1"/>
  <c r="AY257" i="37"/>
  <c r="Z257" i="37"/>
  <c r="BO256" i="37"/>
  <c r="BQ256" i="37" s="1"/>
  <c r="BL256" i="37"/>
  <c r="BM256" i="37" s="1"/>
  <c r="BI256" i="37"/>
  <c r="BJ256" i="37" s="1"/>
  <c r="BC256" i="37"/>
  <c r="BE256" i="37" s="1"/>
  <c r="AZ256" i="37"/>
  <c r="BA256" i="37" s="1"/>
  <c r="AY256" i="37"/>
  <c r="Z256" i="37"/>
  <c r="BO255" i="37"/>
  <c r="BP255" i="37" s="1"/>
  <c r="BL255" i="37"/>
  <c r="BN255" i="37" s="1"/>
  <c r="BI255" i="37"/>
  <c r="BK255" i="37" s="1"/>
  <c r="BC255" i="37"/>
  <c r="BE255" i="37" s="1"/>
  <c r="AZ255" i="37"/>
  <c r="BB255" i="37" s="1"/>
  <c r="AY255" i="37"/>
  <c r="Z255" i="37"/>
  <c r="BO254" i="37"/>
  <c r="BP254" i="37" s="1"/>
  <c r="BL254" i="37"/>
  <c r="BM254" i="37" s="1"/>
  <c r="BI254" i="37"/>
  <c r="BK254" i="37" s="1"/>
  <c r="BC254" i="37"/>
  <c r="BD254" i="37" s="1"/>
  <c r="AZ254" i="37"/>
  <c r="BB254" i="37" s="1"/>
  <c r="AY254" i="37"/>
  <c r="Z254" i="37"/>
  <c r="BO253" i="37"/>
  <c r="BQ253" i="37" s="1"/>
  <c r="BL253" i="37"/>
  <c r="BI253" i="37"/>
  <c r="BJ253" i="37" s="1"/>
  <c r="BH253" i="37"/>
  <c r="BC253" i="37"/>
  <c r="BE253" i="37" s="1"/>
  <c r="AZ253" i="37"/>
  <c r="AY253" i="37"/>
  <c r="Z253" i="37"/>
  <c r="BO252" i="37"/>
  <c r="BP252" i="37" s="1"/>
  <c r="BL252" i="37"/>
  <c r="BN252" i="37" s="1"/>
  <c r="BI252" i="37"/>
  <c r="BK252" i="37" s="1"/>
  <c r="BC252" i="37"/>
  <c r="BD252" i="37" s="1"/>
  <c r="AZ252" i="37"/>
  <c r="BB252" i="37" s="1"/>
  <c r="AY252" i="37"/>
  <c r="Z252" i="37"/>
  <c r="BO245" i="37"/>
  <c r="BQ245" i="37" s="1"/>
  <c r="BL245" i="37"/>
  <c r="BI245" i="37"/>
  <c r="BJ245" i="37" s="1"/>
  <c r="BG245" i="37"/>
  <c r="BC245" i="37"/>
  <c r="BE245" i="37" s="1"/>
  <c r="AZ245" i="37"/>
  <c r="AY245" i="37"/>
  <c r="Z245" i="37"/>
  <c r="BO244" i="37"/>
  <c r="BP244" i="37" s="1"/>
  <c r="BL244" i="37"/>
  <c r="BN244" i="37" s="1"/>
  <c r="BI244" i="37"/>
  <c r="BK244" i="37" s="1"/>
  <c r="BC244" i="37"/>
  <c r="BD244" i="37" s="1"/>
  <c r="AZ244" i="37"/>
  <c r="BB244" i="37" s="1"/>
  <c r="AY244" i="37"/>
  <c r="Z244" i="37"/>
  <c r="BO243" i="37"/>
  <c r="BQ243" i="37" s="1"/>
  <c r="BL243" i="37"/>
  <c r="BI243" i="37"/>
  <c r="BJ243" i="37" s="1"/>
  <c r="BC243" i="37"/>
  <c r="BE243" i="37" s="1"/>
  <c r="AZ243" i="37"/>
  <c r="AY243" i="37"/>
  <c r="Z243" i="37"/>
  <c r="BO242" i="37"/>
  <c r="BP242" i="37" s="1"/>
  <c r="BL242" i="37"/>
  <c r="BN242" i="37" s="1"/>
  <c r="BI242" i="37"/>
  <c r="BK242" i="37" s="1"/>
  <c r="BC242" i="37"/>
  <c r="BD242" i="37" s="1"/>
  <c r="AZ242" i="37"/>
  <c r="BB242" i="37" s="1"/>
  <c r="AY242" i="37"/>
  <c r="Z242" i="37"/>
  <c r="BO241" i="37"/>
  <c r="BQ241" i="37" s="1"/>
  <c r="BL241" i="37"/>
  <c r="BI241" i="37"/>
  <c r="BJ241" i="37" s="1"/>
  <c r="BH241" i="37"/>
  <c r="BC241" i="37"/>
  <c r="BE241" i="37" s="1"/>
  <c r="AZ241" i="37"/>
  <c r="BB241" i="37" s="1"/>
  <c r="AY241" i="37"/>
  <c r="Z241" i="37"/>
  <c r="BO240" i="37"/>
  <c r="BP240" i="37" s="1"/>
  <c r="BL240" i="37"/>
  <c r="BN240" i="37" s="1"/>
  <c r="BI240" i="37"/>
  <c r="BJ240" i="37" s="1"/>
  <c r="BH240" i="37"/>
  <c r="BC240" i="37"/>
  <c r="BD240" i="37" s="1"/>
  <c r="AZ240" i="37"/>
  <c r="BB240" i="37" s="1"/>
  <c r="AY240" i="37"/>
  <c r="Z240" i="37"/>
  <c r="BO239" i="37"/>
  <c r="BL239" i="37"/>
  <c r="BN239" i="37" s="1"/>
  <c r="BI239" i="37"/>
  <c r="BJ239" i="37" s="1"/>
  <c r="BH239" i="37"/>
  <c r="BC239" i="37"/>
  <c r="BD239" i="37" s="1"/>
  <c r="AZ239" i="37"/>
  <c r="BB239" i="37" s="1"/>
  <c r="AY239" i="37"/>
  <c r="Z239" i="37"/>
  <c r="BO238" i="37"/>
  <c r="BP238" i="37" s="1"/>
  <c r="BL238" i="37"/>
  <c r="BN238" i="37" s="1"/>
  <c r="BI238" i="37"/>
  <c r="BK238" i="37" s="1"/>
  <c r="BH238" i="37"/>
  <c r="BC238" i="37"/>
  <c r="BD238" i="37" s="1"/>
  <c r="AZ238" i="37"/>
  <c r="BB238" i="37" s="1"/>
  <c r="AY238" i="37"/>
  <c r="Z238" i="37"/>
  <c r="BO237" i="37"/>
  <c r="BQ237" i="37" s="1"/>
  <c r="BL237" i="37"/>
  <c r="BI237" i="37"/>
  <c r="BJ237" i="37" s="1"/>
  <c r="BG237" i="37"/>
  <c r="BC237" i="37"/>
  <c r="BE237" i="37" s="1"/>
  <c r="AZ237" i="37"/>
  <c r="BB237" i="37" s="1"/>
  <c r="AY237" i="37"/>
  <c r="Z237" i="37"/>
  <c r="BO236" i="37"/>
  <c r="BP236" i="37" s="1"/>
  <c r="BL236" i="37"/>
  <c r="BN236" i="37" s="1"/>
  <c r="BI236" i="37"/>
  <c r="BK236" i="37" s="1"/>
  <c r="BC236" i="37"/>
  <c r="BD236" i="37" s="1"/>
  <c r="AZ236" i="37"/>
  <c r="BB236" i="37" s="1"/>
  <c r="AY236" i="37"/>
  <c r="Z236" i="37"/>
  <c r="BO229" i="37"/>
  <c r="BQ229" i="37" s="1"/>
  <c r="BL229" i="37"/>
  <c r="BN229" i="37" s="1"/>
  <c r="BI229" i="37"/>
  <c r="BJ229" i="37" s="1"/>
  <c r="BG229" i="37"/>
  <c r="BC229" i="37"/>
  <c r="BE229" i="37" s="1"/>
  <c r="AZ229" i="37"/>
  <c r="BB229" i="37" s="1"/>
  <c r="AY229" i="37"/>
  <c r="Z229" i="37"/>
  <c r="BO228" i="37"/>
  <c r="BP228" i="37" s="1"/>
  <c r="BL228" i="37"/>
  <c r="BN228" i="37" s="1"/>
  <c r="BI228" i="37"/>
  <c r="BJ228" i="37" s="1"/>
  <c r="BH228" i="37"/>
  <c r="BC228" i="37"/>
  <c r="BD228" i="37" s="1"/>
  <c r="AZ228" i="37"/>
  <c r="BA228" i="37" s="1"/>
  <c r="AY228" i="37"/>
  <c r="Z228" i="37"/>
  <c r="BO227" i="37"/>
  <c r="BQ227" i="37" s="1"/>
  <c r="BL227" i="37"/>
  <c r="BN227" i="37" s="1"/>
  <c r="BI227" i="37"/>
  <c r="BJ227" i="37" s="1"/>
  <c r="BH227" i="37"/>
  <c r="BC227" i="37"/>
  <c r="BE227" i="37" s="1"/>
  <c r="AZ227" i="37"/>
  <c r="BB227" i="37" s="1"/>
  <c r="AY227" i="37"/>
  <c r="Z227" i="37"/>
  <c r="BO226" i="37"/>
  <c r="BP226" i="37" s="1"/>
  <c r="BL226" i="37"/>
  <c r="BN226" i="37" s="1"/>
  <c r="BI226" i="37"/>
  <c r="BK226" i="37" s="1"/>
  <c r="BH226" i="37"/>
  <c r="BC226" i="37"/>
  <c r="BD226" i="37" s="1"/>
  <c r="AZ226" i="37"/>
  <c r="BB226" i="37" s="1"/>
  <c r="AY226" i="37"/>
  <c r="Z226" i="37"/>
  <c r="BO225" i="37"/>
  <c r="BP225" i="37" s="1"/>
  <c r="BL225" i="37"/>
  <c r="BN225" i="37" s="1"/>
  <c r="BI225" i="37"/>
  <c r="BJ225" i="37" s="1"/>
  <c r="BH225" i="37"/>
  <c r="BC225" i="37"/>
  <c r="BE225" i="37" s="1"/>
  <c r="AZ225" i="37"/>
  <c r="BB225" i="37" s="1"/>
  <c r="AY225" i="37"/>
  <c r="Z225" i="37"/>
  <c r="X220" i="37"/>
  <c r="A220" i="37" s="1"/>
  <c r="BO224" i="37"/>
  <c r="BQ224" i="37" s="1"/>
  <c r="BL224" i="37"/>
  <c r="BN224" i="37" s="1"/>
  <c r="BI224" i="37"/>
  <c r="BK224" i="37" s="1"/>
  <c r="BG224" i="37"/>
  <c r="BC224" i="37"/>
  <c r="BE224" i="37" s="1"/>
  <c r="AZ224" i="37"/>
  <c r="BA224" i="37" s="1"/>
  <c r="BO221" i="37"/>
  <c r="BL221" i="37"/>
  <c r="BI221" i="37"/>
  <c r="BF221" i="37"/>
  <c r="BO220" i="37"/>
  <c r="BL220" i="37"/>
  <c r="BI220" i="37"/>
  <c r="BF220" i="37"/>
  <c r="AY218" i="37"/>
  <c r="Z218" i="37"/>
  <c r="AY217" i="37"/>
  <c r="Z217" i="37"/>
  <c r="AY216" i="37"/>
  <c r="Z216" i="37"/>
  <c r="AY215" i="37"/>
  <c r="Z215" i="37"/>
  <c r="AY214" i="37"/>
  <c r="Z214" i="37"/>
  <c r="AY213" i="37"/>
  <c r="Z213" i="37"/>
  <c r="AY212" i="37"/>
  <c r="Z212" i="37"/>
  <c r="AY211" i="37"/>
  <c r="Z211" i="37"/>
  <c r="AY210" i="37"/>
  <c r="BC210" i="37" s="1"/>
  <c r="Z210" i="37"/>
  <c r="AY209" i="37"/>
  <c r="Z209" i="37"/>
  <c r="AY208" i="37"/>
  <c r="AZ208" i="37" s="1"/>
  <c r="Z208" i="37"/>
  <c r="AY207" i="37"/>
  <c r="Z207" i="37"/>
  <c r="AY206" i="37"/>
  <c r="Z206" i="37"/>
  <c r="AY205" i="37"/>
  <c r="Z205" i="37"/>
  <c r="AY204" i="37"/>
  <c r="Z204" i="37"/>
  <c r="AY203" i="37"/>
  <c r="Z203" i="37"/>
  <c r="AY202" i="37"/>
  <c r="Z202" i="37"/>
  <c r="AY201" i="37"/>
  <c r="Z201" i="37"/>
  <c r="AY200" i="37"/>
  <c r="Z200" i="37"/>
  <c r="AY199" i="37"/>
  <c r="AZ199" i="37" s="1"/>
  <c r="Z199" i="37"/>
  <c r="AY198" i="37"/>
  <c r="BC198" i="37" s="1"/>
  <c r="Z198" i="37"/>
  <c r="AY197" i="37"/>
  <c r="AZ197" i="37" s="1"/>
  <c r="Z197" i="37"/>
  <c r="AY195" i="37"/>
  <c r="Z195" i="37"/>
  <c r="AY194" i="37"/>
  <c r="Z194" i="37"/>
  <c r="AY193" i="37"/>
  <c r="Z193" i="37"/>
  <c r="AY192" i="37"/>
  <c r="Z192" i="37"/>
  <c r="AY191" i="37"/>
  <c r="Z191" i="37"/>
  <c r="AY190" i="37"/>
  <c r="Z190" i="37"/>
  <c r="AY189" i="37"/>
  <c r="Z189" i="37"/>
  <c r="AY188" i="37"/>
  <c r="Z188" i="37"/>
  <c r="AY187" i="37"/>
  <c r="BC187" i="37" s="1"/>
  <c r="Z187" i="37"/>
  <c r="AY186" i="37"/>
  <c r="AZ186" i="37" s="1"/>
  <c r="Z186" i="37"/>
  <c r="AY185" i="37"/>
  <c r="AZ185" i="37" s="1"/>
  <c r="Z185" i="37"/>
  <c r="AY184" i="37"/>
  <c r="Z184" i="37"/>
  <c r="AY183" i="37"/>
  <c r="Z183" i="37"/>
  <c r="AY182" i="37"/>
  <c r="Z182" i="37"/>
  <c r="AY181" i="37"/>
  <c r="Z181" i="37"/>
  <c r="AY180" i="37"/>
  <c r="Z180" i="37"/>
  <c r="AY179" i="37"/>
  <c r="Z179" i="37"/>
  <c r="AY178" i="37"/>
  <c r="Z178" i="37"/>
  <c r="AY177" i="37"/>
  <c r="Z177" i="37"/>
  <c r="AY176" i="37"/>
  <c r="BC176" i="37" s="1"/>
  <c r="Z176" i="37"/>
  <c r="AY175" i="37"/>
  <c r="BC175" i="37" s="1"/>
  <c r="Z175" i="37"/>
  <c r="AY174" i="37"/>
  <c r="AZ174" i="37" s="1"/>
  <c r="Z174" i="37"/>
  <c r="AY172" i="37"/>
  <c r="Z172" i="37"/>
  <c r="H172" i="37"/>
  <c r="AY171" i="37"/>
  <c r="Z171" i="37"/>
  <c r="H171" i="37"/>
  <c r="AY170" i="37"/>
  <c r="Z170" i="37"/>
  <c r="H170" i="37"/>
  <c r="AY169" i="37"/>
  <c r="Z169" i="37"/>
  <c r="H169" i="37"/>
  <c r="AY168" i="37"/>
  <c r="Z168" i="37"/>
  <c r="H168" i="37"/>
  <c r="AY167" i="37"/>
  <c r="Z167" i="37"/>
  <c r="H167" i="37"/>
  <c r="AY166" i="37"/>
  <c r="Z166" i="37"/>
  <c r="H166" i="37"/>
  <c r="AY165" i="37"/>
  <c r="Z165" i="37"/>
  <c r="H165" i="37"/>
  <c r="AY164" i="37"/>
  <c r="BC164" i="37" s="1"/>
  <c r="Z164" i="37"/>
  <c r="H164" i="37"/>
  <c r="AY163" i="37"/>
  <c r="BC163" i="37" s="1"/>
  <c r="Z163" i="37"/>
  <c r="H163" i="37"/>
  <c r="AY162" i="37"/>
  <c r="AZ162" i="37" s="1"/>
  <c r="Z162" i="37"/>
  <c r="H162" i="37"/>
  <c r="AY161" i="37"/>
  <c r="AY160" i="37"/>
  <c r="AY159" i="37"/>
  <c r="AY158" i="37"/>
  <c r="AY157" i="37"/>
  <c r="AY156" i="37"/>
  <c r="AY155" i="37"/>
  <c r="A429" i="37" l="1"/>
  <c r="A431" i="37"/>
  <c r="A427" i="37"/>
  <c r="E46" i="47"/>
  <c r="T46" i="47"/>
  <c r="E89" i="47"/>
  <c r="E91" i="47" s="1"/>
  <c r="E93" i="47" s="1"/>
  <c r="T89" i="47"/>
  <c r="E103" i="47"/>
  <c r="E107" i="47" s="1"/>
  <c r="T103" i="47"/>
  <c r="L98" i="47"/>
  <c r="T98" i="47" s="1"/>
  <c r="E42" i="47"/>
  <c r="T42" i="47"/>
  <c r="T40" i="47"/>
  <c r="E40" i="47"/>
  <c r="T50" i="41"/>
  <c r="E94" i="47"/>
  <c r="E98" i="47" s="1"/>
  <c r="T94" i="47"/>
  <c r="T58" i="47"/>
  <c r="L61" i="47"/>
  <c r="E58" i="47"/>
  <c r="L60" i="47"/>
  <c r="E57" i="47"/>
  <c r="T57" i="47"/>
  <c r="E53" i="47"/>
  <c r="T53" i="47"/>
  <c r="T52" i="47"/>
  <c r="E52" i="47"/>
  <c r="E117" i="47"/>
  <c r="T117" i="47"/>
  <c r="T116" i="47"/>
  <c r="E116" i="47"/>
  <c r="M117" i="47"/>
  <c r="M53" i="47"/>
  <c r="M58" i="47"/>
  <c r="M61" i="47" s="1"/>
  <c r="E18" i="40"/>
  <c r="G70" i="37"/>
  <c r="W70" i="37"/>
  <c r="G69" i="37"/>
  <c r="W69" i="37"/>
  <c r="G71" i="37"/>
  <c r="W71" i="37"/>
  <c r="G72" i="37"/>
  <c r="W72" i="37"/>
  <c r="G73" i="37"/>
  <c r="W73" i="37"/>
  <c r="D35" i="46"/>
  <c r="C34" i="46"/>
  <c r="D18" i="40"/>
  <c r="C18" i="40"/>
  <c r="AV360" i="37" s="1"/>
  <c r="F18" i="40"/>
  <c r="X118" i="37"/>
  <c r="X76" i="37"/>
  <c r="X108" i="37"/>
  <c r="X112" i="37"/>
  <c r="X122" i="37"/>
  <c r="X77" i="37"/>
  <c r="X106" i="37"/>
  <c r="X110" i="37"/>
  <c r="X114" i="37"/>
  <c r="X120" i="37"/>
  <c r="X74" i="37"/>
  <c r="X78" i="37"/>
  <c r="X79" i="37"/>
  <c r="X80" i="37"/>
  <c r="X81" i="37"/>
  <c r="X82" i="37"/>
  <c r="X83" i="37"/>
  <c r="X84" i="37"/>
  <c r="X85" i="37"/>
  <c r="X86" i="37"/>
  <c r="X88" i="37"/>
  <c r="X89" i="37"/>
  <c r="X90" i="37"/>
  <c r="X91" i="37"/>
  <c r="X92" i="37"/>
  <c r="X93" i="37"/>
  <c r="X94" i="37"/>
  <c r="X95" i="37"/>
  <c r="X96" i="37"/>
  <c r="X97" i="37"/>
  <c r="X98" i="37"/>
  <c r="X99" i="37"/>
  <c r="X100" i="37"/>
  <c r="X101" i="37"/>
  <c r="X102" i="37"/>
  <c r="X103" i="37"/>
  <c r="X104" i="37"/>
  <c r="X105" i="37"/>
  <c r="X107" i="37"/>
  <c r="X109" i="37"/>
  <c r="X111" i="37"/>
  <c r="X113" i="37"/>
  <c r="X115" i="37"/>
  <c r="X117" i="37"/>
  <c r="X119" i="37"/>
  <c r="X121" i="37"/>
  <c r="X116" i="37"/>
  <c r="X75" i="37"/>
  <c r="X87" i="37"/>
  <c r="H72" i="37"/>
  <c r="H73" i="37"/>
  <c r="H70" i="37"/>
  <c r="H69" i="37"/>
  <c r="X13" i="37"/>
  <c r="H71" i="37"/>
  <c r="AA105" i="37"/>
  <c r="V132" i="37"/>
  <c r="Z105" i="37"/>
  <c r="U132" i="37"/>
  <c r="BB76" i="37"/>
  <c r="BA76" i="37"/>
  <c r="BB13" i="37"/>
  <c r="BA13" i="37"/>
  <c r="BB87" i="37"/>
  <c r="BA87" i="37"/>
  <c r="BB71" i="37"/>
  <c r="BA71" i="37"/>
  <c r="BB75" i="37"/>
  <c r="BA75" i="37"/>
  <c r="BA105" i="37"/>
  <c r="BB105" i="37"/>
  <c r="BA109" i="37"/>
  <c r="BB109" i="37"/>
  <c r="BA113" i="37"/>
  <c r="BB113" i="37"/>
  <c r="BA117" i="37"/>
  <c r="BB117" i="37"/>
  <c r="BA121" i="37"/>
  <c r="BB121" i="37"/>
  <c r="BB28" i="37"/>
  <c r="BA28" i="37"/>
  <c r="BB70" i="37"/>
  <c r="BA70" i="37"/>
  <c r="BB74" i="37"/>
  <c r="BA74" i="37"/>
  <c r="BB43" i="37"/>
  <c r="BA43" i="37"/>
  <c r="BB72" i="37"/>
  <c r="BA72" i="37"/>
  <c r="BB107" i="37"/>
  <c r="BA107" i="37"/>
  <c r="BB111" i="37"/>
  <c r="BA111" i="37"/>
  <c r="BB115" i="37"/>
  <c r="BA115" i="37"/>
  <c r="BB119" i="37"/>
  <c r="BA119" i="37"/>
  <c r="BB58" i="37"/>
  <c r="BA58" i="37"/>
  <c r="BB73" i="37"/>
  <c r="BA73" i="37"/>
  <c r="BB77" i="37"/>
  <c r="BA77" i="37"/>
  <c r="BB69" i="37"/>
  <c r="BA69" i="37"/>
  <c r="BB78" i="37"/>
  <c r="BA78" i="37"/>
  <c r="BB79" i="37"/>
  <c r="BA79" i="37"/>
  <c r="BB80" i="37"/>
  <c r="BA80" i="37"/>
  <c r="BB81" i="37"/>
  <c r="BA81" i="37"/>
  <c r="BB82" i="37"/>
  <c r="BA82" i="37"/>
  <c r="BB83" i="37"/>
  <c r="BA83" i="37"/>
  <c r="BB84" i="37"/>
  <c r="BA84" i="37"/>
  <c r="BB85" i="37"/>
  <c r="BA85" i="37"/>
  <c r="BB86" i="37"/>
  <c r="BA86" i="37"/>
  <c r="BB88" i="37"/>
  <c r="BA88" i="37"/>
  <c r="BA89" i="37"/>
  <c r="BB89" i="37"/>
  <c r="BB90" i="37"/>
  <c r="BA90" i="37"/>
  <c r="BB91" i="37"/>
  <c r="BA91" i="37"/>
  <c r="BB92" i="37"/>
  <c r="BA92" i="37"/>
  <c r="BA93" i="37"/>
  <c r="BB93" i="37"/>
  <c r="BA94" i="37"/>
  <c r="BB94" i="37"/>
  <c r="BB95" i="37"/>
  <c r="BA95" i="37"/>
  <c r="BB96" i="37"/>
  <c r="BA96" i="37"/>
  <c r="BB97" i="37"/>
  <c r="BA97" i="37"/>
  <c r="BA98" i="37"/>
  <c r="BB98" i="37"/>
  <c r="BB99" i="37"/>
  <c r="BA99" i="37"/>
  <c r="BB100" i="37"/>
  <c r="BA100" i="37"/>
  <c r="BA101" i="37"/>
  <c r="BB101" i="37"/>
  <c r="BA102" i="37"/>
  <c r="BB102" i="37"/>
  <c r="BB103" i="37"/>
  <c r="BA103" i="37"/>
  <c r="BB104" i="37"/>
  <c r="BA104" i="37"/>
  <c r="BA106" i="37"/>
  <c r="BB106" i="37"/>
  <c r="BB108" i="37"/>
  <c r="BA108" i="37"/>
  <c r="BA110" i="37"/>
  <c r="BB110" i="37"/>
  <c r="BB112" i="37"/>
  <c r="BA112" i="37"/>
  <c r="BA114" i="37"/>
  <c r="BB114" i="37"/>
  <c r="BB116" i="37"/>
  <c r="BA116" i="37"/>
  <c r="BA118" i="37"/>
  <c r="BB118" i="37"/>
  <c r="BB120" i="37"/>
  <c r="BA120" i="37"/>
  <c r="BA122" i="37"/>
  <c r="BB122" i="37"/>
  <c r="X221" i="37"/>
  <c r="A221" i="37" s="1"/>
  <c r="W220" i="37"/>
  <c r="AA87" i="37"/>
  <c r="BG289" i="37"/>
  <c r="BG293" i="37"/>
  <c r="BM293" i="37"/>
  <c r="BQ293" i="37"/>
  <c r="BH346" i="37"/>
  <c r="BN289" i="37"/>
  <c r="BQ289" i="37" s="1"/>
  <c r="BA293" i="37"/>
  <c r="BE325" i="37"/>
  <c r="BJ340" i="37"/>
  <c r="BH347" i="37"/>
  <c r="BQ312" i="37"/>
  <c r="BQ326" i="37"/>
  <c r="BM333" i="37"/>
  <c r="BK335" i="37"/>
  <c r="BQ343" i="37"/>
  <c r="BA345" i="37"/>
  <c r="BQ298" i="37"/>
  <c r="BM321" i="37"/>
  <c r="BN330" i="37"/>
  <c r="BG333" i="37"/>
  <c r="BH325" i="37"/>
  <c r="BE326" i="37"/>
  <c r="BN326" i="37"/>
  <c r="BH329" i="37"/>
  <c r="BD334" i="37"/>
  <c r="BK296" i="37"/>
  <c r="BH297" i="37"/>
  <c r="BE298" i="37"/>
  <c r="BN298" i="37"/>
  <c r="BG307" i="37"/>
  <c r="BD308" i="37"/>
  <c r="BJ314" i="37"/>
  <c r="BP322" i="37"/>
  <c r="BD332" i="37"/>
  <c r="BP334" i="37"/>
  <c r="BA335" i="37"/>
  <c r="BP306" i="37"/>
  <c r="BA307" i="37"/>
  <c r="BK310" i="37"/>
  <c r="BH311" i="37"/>
  <c r="BQ311" i="37"/>
  <c r="BB312" i="37"/>
  <c r="BD314" i="37"/>
  <c r="BJ328" i="37"/>
  <c r="BP328" i="37"/>
  <c r="BA329" i="37"/>
  <c r="BJ332" i="37"/>
  <c r="BP332" i="37"/>
  <c r="BA333" i="37"/>
  <c r="BJ334" i="37"/>
  <c r="BE339" i="37"/>
  <c r="BE343" i="37"/>
  <c r="BB356" i="37"/>
  <c r="BP294" i="37"/>
  <c r="BJ308" i="37"/>
  <c r="BH310" i="37"/>
  <c r="BE312" i="37"/>
  <c r="BK324" i="37"/>
  <c r="BB330" i="37"/>
  <c r="BE336" i="37"/>
  <c r="BA337" i="37"/>
  <c r="BP340" i="37"/>
  <c r="BB341" i="37"/>
  <c r="BN345" i="37"/>
  <c r="BM348" i="37"/>
  <c r="BJ349" i="37"/>
  <c r="BQ356" i="37"/>
  <c r="BN355" i="37"/>
  <c r="BM355" i="37"/>
  <c r="BQ297" i="37"/>
  <c r="BQ325" i="37"/>
  <c r="BQ330" i="37"/>
  <c r="BP330" i="37"/>
  <c r="BP333" i="37"/>
  <c r="BQ333" i="37"/>
  <c r="BA336" i="37"/>
  <c r="BB336" i="37"/>
  <c r="BG338" i="37"/>
  <c r="BH338" i="37"/>
  <c r="BE340" i="37"/>
  <c r="BD340" i="37"/>
  <c r="BG342" i="37"/>
  <c r="BH342" i="37"/>
  <c r="BJ345" i="37"/>
  <c r="BK345" i="37"/>
  <c r="BQ350" i="37"/>
  <c r="BP350" i="37"/>
  <c r="BQ351" i="37"/>
  <c r="BP351" i="37"/>
  <c r="BP352" i="37"/>
  <c r="BQ352" i="37"/>
  <c r="BE354" i="37"/>
  <c r="BD354" i="37"/>
  <c r="BE355" i="37"/>
  <c r="BD355" i="37"/>
  <c r="BD294" i="37"/>
  <c r="BH296" i="37"/>
  <c r="BD306" i="37"/>
  <c r="BM307" i="37"/>
  <c r="BP308" i="37"/>
  <c r="BP314" i="37"/>
  <c r="BA321" i="37"/>
  <c r="BD322" i="37"/>
  <c r="BH324" i="37"/>
  <c r="BD328" i="37"/>
  <c r="BK330" i="37"/>
  <c r="BJ330" i="37"/>
  <c r="BD333" i="37"/>
  <c r="BE333" i="37"/>
  <c r="BM334" i="37"/>
  <c r="BN334" i="37"/>
  <c r="BP335" i="37"/>
  <c r="BQ335" i="37"/>
  <c r="BD344" i="37"/>
  <c r="BE344" i="37"/>
  <c r="BA348" i="37"/>
  <c r="BB348" i="37"/>
  <c r="BH350" i="37"/>
  <c r="BG350" i="37"/>
  <c r="BD356" i="37"/>
  <c r="BE356" i="37"/>
  <c r="BE330" i="37"/>
  <c r="BD330" i="37"/>
  <c r="BA334" i="37"/>
  <c r="BB334" i="37"/>
  <c r="BN339" i="37"/>
  <c r="BM339" i="37"/>
  <c r="BN343" i="37"/>
  <c r="BM343" i="37"/>
  <c r="BK344" i="37"/>
  <c r="BJ344" i="37"/>
  <c r="BB351" i="37"/>
  <c r="BA351" i="37"/>
  <c r="BA352" i="37"/>
  <c r="BB352" i="37"/>
  <c r="BA353" i="37"/>
  <c r="BB353" i="37"/>
  <c r="BJ294" i="37"/>
  <c r="BB298" i="37"/>
  <c r="BJ306" i="37"/>
  <c r="BE311" i="37"/>
  <c r="BN312" i="37"/>
  <c r="BG321" i="37"/>
  <c r="BJ322" i="37"/>
  <c r="BB326" i="37"/>
  <c r="BE297" i="37"/>
  <c r="BG332" i="37"/>
  <c r="BH332" i="37"/>
  <c r="BG334" i="37"/>
  <c r="BH334" i="37"/>
  <c r="BM337" i="37"/>
  <c r="BN337" i="37"/>
  <c r="BM341" i="37"/>
  <c r="BN341" i="37"/>
  <c r="BQ347" i="37"/>
  <c r="BP347" i="37"/>
  <c r="BJ353" i="37"/>
  <c r="BK353" i="37"/>
  <c r="BN356" i="37"/>
  <c r="BP338" i="37"/>
  <c r="BA339" i="37"/>
  <c r="BG339" i="37"/>
  <c r="BN340" i="37"/>
  <c r="BP342" i="37"/>
  <c r="BA343" i="37"/>
  <c r="BG343" i="37"/>
  <c r="BD346" i="37"/>
  <c r="BJ348" i="37"/>
  <c r="BQ348" i="37"/>
  <c r="BA349" i="37"/>
  <c r="BG349" i="37"/>
  <c r="BB294" i="37"/>
  <c r="BN294" i="37"/>
  <c r="BD296" i="37"/>
  <c r="BP296" i="37"/>
  <c r="BA297" i="37"/>
  <c r="BM297" i="37"/>
  <c r="BJ298" i="37"/>
  <c r="BH306" i="37"/>
  <c r="BE307" i="37"/>
  <c r="BQ307" i="37"/>
  <c r="BB308" i="37"/>
  <c r="BN308" i="37"/>
  <c r="BD310" i="37"/>
  <c r="BP310" i="37"/>
  <c r="BA311" i="37"/>
  <c r="BM311" i="37"/>
  <c r="BJ312" i="37"/>
  <c r="BH314" i="37"/>
  <c r="BE321" i="37"/>
  <c r="BQ321" i="37"/>
  <c r="BB322" i="37"/>
  <c r="BN322" i="37"/>
  <c r="BD324" i="37"/>
  <c r="BP324" i="37"/>
  <c r="BA325" i="37"/>
  <c r="BM325" i="37"/>
  <c r="BJ326" i="37"/>
  <c r="BM329" i="37"/>
  <c r="BH335" i="37"/>
  <c r="BM335" i="37"/>
  <c r="BD338" i="37"/>
  <c r="BJ338" i="37"/>
  <c r="BQ339" i="37"/>
  <c r="BB340" i="37"/>
  <c r="BD342" i="37"/>
  <c r="BJ342" i="37"/>
  <c r="BM344" i="37"/>
  <c r="BG345" i="37"/>
  <c r="BK346" i="37"/>
  <c r="BM347" i="37"/>
  <c r="BD348" i="37"/>
  <c r="BD350" i="37"/>
  <c r="BD351" i="37"/>
  <c r="BM351" i="37"/>
  <c r="BE352" i="37"/>
  <c r="BN352" i="37"/>
  <c r="BN353" i="37"/>
  <c r="BG354" i="37"/>
  <c r="BP354" i="37"/>
  <c r="BA355" i="37"/>
  <c r="BP355" i="37"/>
  <c r="BA295" i="37"/>
  <c r="BG295" i="37"/>
  <c r="BM295" i="37"/>
  <c r="BA305" i="37"/>
  <c r="BG305" i="37"/>
  <c r="BM305" i="37"/>
  <c r="BA309" i="37"/>
  <c r="BG309" i="37"/>
  <c r="BM309" i="37"/>
  <c r="BA313" i="37"/>
  <c r="BG313" i="37"/>
  <c r="BM313" i="37"/>
  <c r="BA323" i="37"/>
  <c r="BG323" i="37"/>
  <c r="BM323" i="37"/>
  <c r="BA327" i="37"/>
  <c r="BG327" i="37"/>
  <c r="BM327" i="37"/>
  <c r="BA331" i="37"/>
  <c r="BG331" i="37"/>
  <c r="BM331" i="37"/>
  <c r="BJ336" i="37"/>
  <c r="BP336" i="37"/>
  <c r="BE337" i="37"/>
  <c r="BK337" i="37"/>
  <c r="BK341" i="37"/>
  <c r="BA344" i="37"/>
  <c r="BP344" i="37"/>
  <c r="BD347" i="37"/>
  <c r="BM349" i="37"/>
  <c r="BK350" i="37"/>
  <c r="BH351" i="37"/>
  <c r="BJ352" i="37"/>
  <c r="BG353" i="37"/>
  <c r="BK354" i="37"/>
  <c r="BH355" i="37"/>
  <c r="BJ356" i="37"/>
  <c r="BE293" i="37"/>
  <c r="BH328" i="37"/>
  <c r="BE329" i="37"/>
  <c r="BQ329" i="37"/>
  <c r="BH290" i="37"/>
  <c r="BK290" i="37" s="1"/>
  <c r="BK295" i="37"/>
  <c r="BK305" i="37"/>
  <c r="BK309" i="37"/>
  <c r="BK313" i="37"/>
  <c r="BK323" i="37"/>
  <c r="BK327" i="37"/>
  <c r="BK331" i="37"/>
  <c r="BH336" i="37"/>
  <c r="BN336" i="37"/>
  <c r="BG337" i="37"/>
  <c r="BG341" i="37"/>
  <c r="BP346" i="37"/>
  <c r="BA347" i="37"/>
  <c r="BQ337" i="37"/>
  <c r="BP337" i="37"/>
  <c r="BB338" i="37"/>
  <c r="BA338" i="37"/>
  <c r="BN338" i="37"/>
  <c r="BM338" i="37"/>
  <c r="BK343" i="37"/>
  <c r="BJ343" i="37"/>
  <c r="BK351" i="37"/>
  <c r="BJ351" i="37"/>
  <c r="BH356" i="37"/>
  <c r="BG356" i="37"/>
  <c r="BM290" i="37"/>
  <c r="BJ293" i="37"/>
  <c r="BG294" i="37"/>
  <c r="BD295" i="37"/>
  <c r="BP295" i="37"/>
  <c r="BA296" i="37"/>
  <c r="BM296" i="37"/>
  <c r="BJ297" i="37"/>
  <c r="BG298" i="37"/>
  <c r="BD305" i="37"/>
  <c r="BP305" i="37"/>
  <c r="BA306" i="37"/>
  <c r="BM306" i="37"/>
  <c r="BJ307" i="37"/>
  <c r="BG308" i="37"/>
  <c r="BD309" i="37"/>
  <c r="BP309" i="37"/>
  <c r="BA310" i="37"/>
  <c r="BM310" i="37"/>
  <c r="BJ311" i="37"/>
  <c r="BG312" i="37"/>
  <c r="BD313" i="37"/>
  <c r="BP313" i="37"/>
  <c r="BA314" i="37"/>
  <c r="BM314" i="37"/>
  <c r="BJ321" i="37"/>
  <c r="BG322" i="37"/>
  <c r="BD323" i="37"/>
  <c r="BP323" i="37"/>
  <c r="BA324" i="37"/>
  <c r="BM324" i="37"/>
  <c r="BJ325" i="37"/>
  <c r="BG326" i="37"/>
  <c r="BD327" i="37"/>
  <c r="BP327" i="37"/>
  <c r="BA328" i="37"/>
  <c r="BM328" i="37"/>
  <c r="BJ329" i="37"/>
  <c r="BG330" i="37"/>
  <c r="BD331" i="37"/>
  <c r="BP331" i="37"/>
  <c r="BA332" i="37"/>
  <c r="BM332" i="37"/>
  <c r="BJ333" i="37"/>
  <c r="BE335" i="37"/>
  <c r="BK339" i="37"/>
  <c r="BJ339" i="37"/>
  <c r="BH340" i="37"/>
  <c r="BG340" i="37"/>
  <c r="BE345" i="37"/>
  <c r="BD345" i="37"/>
  <c r="BK347" i="37"/>
  <c r="BJ347" i="37"/>
  <c r="BH352" i="37"/>
  <c r="BG352" i="37"/>
  <c r="BH344" i="37"/>
  <c r="BG344" i="37"/>
  <c r="BQ345" i="37"/>
  <c r="BP345" i="37"/>
  <c r="BB346" i="37"/>
  <c r="BA346" i="37"/>
  <c r="BE349" i="37"/>
  <c r="BD349" i="37"/>
  <c r="BE353" i="37"/>
  <c r="BD353" i="37"/>
  <c r="BQ353" i="37"/>
  <c r="BP353" i="37"/>
  <c r="BB354" i="37"/>
  <c r="BA354" i="37"/>
  <c r="BN354" i="37"/>
  <c r="BM354" i="37"/>
  <c r="BE341" i="37"/>
  <c r="BD341" i="37"/>
  <c r="BQ341" i="37"/>
  <c r="BP341" i="37"/>
  <c r="BB342" i="37"/>
  <c r="BA342" i="37"/>
  <c r="BN342" i="37"/>
  <c r="BM342" i="37"/>
  <c r="BN346" i="37"/>
  <c r="BM346" i="37"/>
  <c r="BH348" i="37"/>
  <c r="BG348" i="37"/>
  <c r="BQ349" i="37"/>
  <c r="BP349" i="37"/>
  <c r="BB350" i="37"/>
  <c r="BA350" i="37"/>
  <c r="BN350" i="37"/>
  <c r="BM350" i="37"/>
  <c r="BK355" i="37"/>
  <c r="BJ355" i="37"/>
  <c r="V115" i="37"/>
  <c r="U122" i="37"/>
  <c r="U120" i="37"/>
  <c r="U121" i="37"/>
  <c r="V116" i="37"/>
  <c r="V119" i="37"/>
  <c r="V122" i="37"/>
  <c r="V120" i="37"/>
  <c r="BB273" i="37"/>
  <c r="Z87" i="37"/>
  <c r="U110" i="37"/>
  <c r="U111" i="37"/>
  <c r="V121" i="37"/>
  <c r="U109" i="37"/>
  <c r="U116" i="37"/>
  <c r="V109" i="37"/>
  <c r="V111" i="37"/>
  <c r="U117" i="37"/>
  <c r="U118" i="37"/>
  <c r="BP282" i="37"/>
  <c r="BA283" i="37"/>
  <c r="U106" i="37"/>
  <c r="U107" i="37"/>
  <c r="V112" i="37"/>
  <c r="U113" i="37"/>
  <c r="U114" i="37"/>
  <c r="V117" i="37"/>
  <c r="V118" i="37"/>
  <c r="U119" i="37"/>
  <c r="V108" i="37"/>
  <c r="V110" i="37"/>
  <c r="U112" i="37"/>
  <c r="V106" i="37"/>
  <c r="V107" i="37"/>
  <c r="U108" i="37"/>
  <c r="V113" i="37"/>
  <c r="V114" i="37"/>
  <c r="U115" i="37"/>
  <c r="BN279" i="37"/>
  <c r="BN287" i="37"/>
  <c r="BM273" i="37"/>
  <c r="BK278" i="37"/>
  <c r="BN281" i="37"/>
  <c r="BP284" i="37"/>
  <c r="BA285" i="37"/>
  <c r="BK286" i="37"/>
  <c r="BD258" i="37"/>
  <c r="BK273" i="37"/>
  <c r="BD278" i="37"/>
  <c r="BD280" i="37"/>
  <c r="BK284" i="37"/>
  <c r="BD286" i="37"/>
  <c r="BQ261" i="37"/>
  <c r="BB269" i="37"/>
  <c r="BJ269" i="37"/>
  <c r="BE270" i="37"/>
  <c r="BN271" i="37"/>
  <c r="BB275" i="37"/>
  <c r="BJ275" i="37"/>
  <c r="BN275" i="37"/>
  <c r="BH276" i="37"/>
  <c r="BN277" i="37"/>
  <c r="BP278" i="37"/>
  <c r="BA279" i="37"/>
  <c r="BK280" i="37"/>
  <c r="BB281" i="37"/>
  <c r="BD282" i="37"/>
  <c r="BM283" i="37"/>
  <c r="BN285" i="37"/>
  <c r="BP286" i="37"/>
  <c r="BA287" i="37"/>
  <c r="BP280" i="37"/>
  <c r="BK282" i="37"/>
  <c r="BD284" i="37"/>
  <c r="BD261" i="37"/>
  <c r="BG272" i="37"/>
  <c r="BG274" i="37"/>
  <c r="BP276" i="37"/>
  <c r="BA277" i="37"/>
  <c r="BG278" i="37"/>
  <c r="BJ279" i="37"/>
  <c r="BG280" i="37"/>
  <c r="BJ281" i="37"/>
  <c r="BG282" i="37"/>
  <c r="BJ283" i="37"/>
  <c r="BG284" i="37"/>
  <c r="BJ285" i="37"/>
  <c r="BG286" i="37"/>
  <c r="BJ287" i="37"/>
  <c r="BH266" i="37"/>
  <c r="BP266" i="37"/>
  <c r="BK267" i="37"/>
  <c r="BD272" i="37"/>
  <c r="BP272" i="37"/>
  <c r="BD274" i="37"/>
  <c r="BP274" i="37"/>
  <c r="BD276" i="37"/>
  <c r="BJ277" i="37"/>
  <c r="BE279" i="37"/>
  <c r="BQ279" i="37"/>
  <c r="BE281" i="37"/>
  <c r="BQ281" i="37"/>
  <c r="BE283" i="37"/>
  <c r="BQ283" i="37"/>
  <c r="BE285" i="37"/>
  <c r="BQ285" i="37"/>
  <c r="BE287" i="37"/>
  <c r="BA272" i="37"/>
  <c r="BM272" i="37"/>
  <c r="BG273" i="37"/>
  <c r="BA274" i="37"/>
  <c r="BM274" i="37"/>
  <c r="BG275" i="37"/>
  <c r="BA276" i="37"/>
  <c r="BM276" i="37"/>
  <c r="BG277" i="37"/>
  <c r="BA278" i="37"/>
  <c r="BM278" i="37"/>
  <c r="BG279" i="37"/>
  <c r="BA280" i="37"/>
  <c r="BM280" i="37"/>
  <c r="BG281" i="37"/>
  <c r="BA282" i="37"/>
  <c r="BM282" i="37"/>
  <c r="BG283" i="37"/>
  <c r="BA284" i="37"/>
  <c r="BM284" i="37"/>
  <c r="BG285" i="37"/>
  <c r="BA286" i="37"/>
  <c r="BM286" i="37"/>
  <c r="BG287" i="37"/>
  <c r="BJ272" i="37"/>
  <c r="BD273" i="37"/>
  <c r="BP273" i="37"/>
  <c r="BJ274" i="37"/>
  <c r="BD275" i="37"/>
  <c r="BP275" i="37"/>
  <c r="BJ276" i="37"/>
  <c r="BD277" i="37"/>
  <c r="BP277" i="37"/>
  <c r="BP287" i="37"/>
  <c r="BN265" i="37"/>
  <c r="BD266" i="37"/>
  <c r="BH268" i="37"/>
  <c r="BP268" i="37"/>
  <c r="BB271" i="37"/>
  <c r="BJ271" i="37"/>
  <c r="BB265" i="37"/>
  <c r="BJ265" i="37"/>
  <c r="BN267" i="37"/>
  <c r="BD268" i="37"/>
  <c r="BH270" i="37"/>
  <c r="BP270" i="37"/>
  <c r="BB267" i="37"/>
  <c r="BN269" i="37"/>
  <c r="BH264" i="37"/>
  <c r="BP264" i="37"/>
  <c r="BD264" i="37"/>
  <c r="BA264" i="37"/>
  <c r="BM264" i="37"/>
  <c r="BG265" i="37"/>
  <c r="BA266" i="37"/>
  <c r="BM266" i="37"/>
  <c r="BG267" i="37"/>
  <c r="BA268" i="37"/>
  <c r="BM268" i="37"/>
  <c r="BG269" i="37"/>
  <c r="BA270" i="37"/>
  <c r="BM270" i="37"/>
  <c r="BG271" i="37"/>
  <c r="BJ264" i="37"/>
  <c r="BD265" i="37"/>
  <c r="BP265" i="37"/>
  <c r="BJ266" i="37"/>
  <c r="BD267" i="37"/>
  <c r="BP267" i="37"/>
  <c r="BJ268" i="37"/>
  <c r="BD269" i="37"/>
  <c r="BP269" i="37"/>
  <c r="BJ270" i="37"/>
  <c r="BD271" i="37"/>
  <c r="BP271" i="37"/>
  <c r="BH261" i="37"/>
  <c r="BJ261" i="37"/>
  <c r="BB261" i="37"/>
  <c r="BN261" i="37"/>
  <c r="BH258" i="37"/>
  <c r="BP258" i="37"/>
  <c r="BJ258" i="37"/>
  <c r="BB258" i="37"/>
  <c r="BN258" i="37"/>
  <c r="BK240" i="37"/>
  <c r="BB260" i="37"/>
  <c r="BG225" i="37"/>
  <c r="BA257" i="37"/>
  <c r="BK241" i="37"/>
  <c r="BQ242" i="37"/>
  <c r="BA254" i="37"/>
  <c r="BQ263" i="37"/>
  <c r="BQ252" i="37"/>
  <c r="BB263" i="37"/>
  <c r="BH229" i="37"/>
  <c r="BA236" i="37"/>
  <c r="BH245" i="37"/>
  <c r="AZ176" i="37"/>
  <c r="BA176" i="37" s="1"/>
  <c r="AZ198" i="37"/>
  <c r="BB198" i="37" s="1"/>
  <c r="BE198" i="37" s="1"/>
  <c r="BJ238" i="37"/>
  <c r="BP227" i="37"/>
  <c r="BM236" i="37"/>
  <c r="BH237" i="37"/>
  <c r="BQ244" i="37"/>
  <c r="BE252" i="37"/>
  <c r="BG253" i="37"/>
  <c r="BQ260" i="37"/>
  <c r="AZ163" i="37"/>
  <c r="BB163" i="37" s="1"/>
  <c r="BE163" i="37" s="1"/>
  <c r="BN254" i="37"/>
  <c r="BQ257" i="37"/>
  <c r="BK259" i="37"/>
  <c r="BP239" i="37"/>
  <c r="BQ239" i="37"/>
  <c r="BB224" i="37"/>
  <c r="BD263" i="37"/>
  <c r="BE263" i="37"/>
  <c r="AZ210" i="37"/>
  <c r="BQ225" i="37"/>
  <c r="BA226" i="37"/>
  <c r="BH236" i="37"/>
  <c r="BG236" i="37"/>
  <c r="BG239" i="37"/>
  <c r="BG241" i="37"/>
  <c r="BG255" i="37"/>
  <c r="BH255" i="37"/>
  <c r="BQ255" i="37"/>
  <c r="BK256" i="37"/>
  <c r="BD260" i="37"/>
  <c r="BE260" i="37"/>
  <c r="BN260" i="37"/>
  <c r="BH262" i="37"/>
  <c r="BG262" i="37"/>
  <c r="AZ175" i="37"/>
  <c r="BB175" i="37" s="1"/>
  <c r="BE175" i="37" s="1"/>
  <c r="BC186" i="37"/>
  <c r="BD186" i="37" s="1"/>
  <c r="BM226" i="37"/>
  <c r="BN237" i="37"/>
  <c r="BM237" i="37"/>
  <c r="BG243" i="37"/>
  <c r="BH243" i="37"/>
  <c r="BD257" i="37"/>
  <c r="BE257" i="37"/>
  <c r="BN257" i="37"/>
  <c r="BH259" i="37"/>
  <c r="BG259" i="37"/>
  <c r="AZ164" i="37"/>
  <c r="BB164" i="37" s="1"/>
  <c r="BE164" i="37" s="1"/>
  <c r="AZ187" i="37"/>
  <c r="BA187" i="37" s="1"/>
  <c r="BH256" i="37"/>
  <c r="BG256" i="37"/>
  <c r="BK262" i="37"/>
  <c r="BM263" i="37"/>
  <c r="BN263" i="37"/>
  <c r="BC199" i="37"/>
  <c r="BD199" i="37" s="1"/>
  <c r="BC209" i="37"/>
  <c r="BD209" i="37" s="1"/>
  <c r="AZ209" i="37"/>
  <c r="BA209" i="37" s="1"/>
  <c r="J28" i="37"/>
  <c r="BD256" i="37"/>
  <c r="BD262" i="37"/>
  <c r="BB256" i="37"/>
  <c r="BN256" i="37"/>
  <c r="BH257" i="37"/>
  <c r="BB259" i="37"/>
  <c r="BN259" i="37"/>
  <c r="BH260" i="37"/>
  <c r="BB262" i="37"/>
  <c r="BN262" i="37"/>
  <c r="BH263" i="37"/>
  <c r="BP256" i="37"/>
  <c r="BJ257" i="37"/>
  <c r="BD259" i="37"/>
  <c r="BP259" i="37"/>
  <c r="BJ260" i="37"/>
  <c r="BP262" i="37"/>
  <c r="BJ263" i="37"/>
  <c r="BE240" i="37"/>
  <c r="BE238" i="37"/>
  <c r="BD237" i="37"/>
  <c r="BD229" i="37"/>
  <c r="BB228" i="37"/>
  <c r="BA227" i="37"/>
  <c r="BD255" i="37"/>
  <c r="BQ254" i="37"/>
  <c r="BE254" i="37"/>
  <c r="BA255" i="37"/>
  <c r="BM255" i="37"/>
  <c r="BJ255" i="37"/>
  <c r="BA252" i="37"/>
  <c r="BM252" i="37"/>
  <c r="BD253" i="37"/>
  <c r="BP253" i="37"/>
  <c r="BJ252" i="37"/>
  <c r="BK253" i="37"/>
  <c r="BE244" i="37"/>
  <c r="BM244" i="37"/>
  <c r="BA244" i="37"/>
  <c r="BK245" i="37"/>
  <c r="BE242" i="37"/>
  <c r="BM242" i="37"/>
  <c r="BA242" i="37"/>
  <c r="BK243" i="37"/>
  <c r="BA240" i="37"/>
  <c r="BA241" i="37"/>
  <c r="BM240" i="37"/>
  <c r="BA238" i="37"/>
  <c r="BM238" i="37"/>
  <c r="BQ236" i="37"/>
  <c r="BQ228" i="37"/>
  <c r="BM228" i="37"/>
  <c r="BG228" i="37"/>
  <c r="BM229" i="37"/>
  <c r="BJ226" i="37"/>
  <c r="BK227" i="37"/>
  <c r="BE226" i="37"/>
  <c r="BG227" i="37"/>
  <c r="BH242" i="37"/>
  <c r="BG242" i="37"/>
  <c r="BB243" i="37"/>
  <c r="BA243" i="37"/>
  <c r="BN243" i="37"/>
  <c r="BM243" i="37"/>
  <c r="BD225" i="37"/>
  <c r="BM225" i="37"/>
  <c r="BK229" i="37"/>
  <c r="BP229" i="37"/>
  <c r="BD245" i="37"/>
  <c r="BP245" i="37"/>
  <c r="BG226" i="37"/>
  <c r="BQ226" i="37"/>
  <c r="BD227" i="37"/>
  <c r="BM227" i="37"/>
  <c r="BK228" i="37"/>
  <c r="BE236" i="37"/>
  <c r="BJ236" i="37"/>
  <c r="BA237" i="37"/>
  <c r="BK237" i="37"/>
  <c r="BP237" i="37"/>
  <c r="BE239" i="37"/>
  <c r="BG240" i="37"/>
  <c r="BQ240" i="37"/>
  <c r="BD241" i="37"/>
  <c r="BJ242" i="37"/>
  <c r="BD243" i="37"/>
  <c r="BP243" i="37"/>
  <c r="BH252" i="37"/>
  <c r="BG252" i="37"/>
  <c r="BB253" i="37"/>
  <c r="BA253" i="37"/>
  <c r="BN253" i="37"/>
  <c r="BM253" i="37"/>
  <c r="BE228" i="37"/>
  <c r="BA229" i="37"/>
  <c r="BG238" i="37"/>
  <c r="BQ238" i="37"/>
  <c r="BM239" i="37"/>
  <c r="BN241" i="37"/>
  <c r="BM241" i="37"/>
  <c r="BJ244" i="37"/>
  <c r="BH254" i="37"/>
  <c r="BG254" i="37"/>
  <c r="BA225" i="37"/>
  <c r="BK225" i="37"/>
  <c r="BA239" i="37"/>
  <c r="BK239" i="37"/>
  <c r="BP241" i="37"/>
  <c r="BH244" i="37"/>
  <c r="BG244" i="37"/>
  <c r="BB245" i="37"/>
  <c r="BA245" i="37"/>
  <c r="BN245" i="37"/>
  <c r="BM245" i="37"/>
  <c r="BJ254" i="37"/>
  <c r="BD164" i="37"/>
  <c r="BD224" i="37"/>
  <c r="BD210" i="37"/>
  <c r="BJ224" i="37"/>
  <c r="BH224" i="37"/>
  <c r="BM224" i="37"/>
  <c r="BP224" i="37"/>
  <c r="BB199" i="37"/>
  <c r="BE199" i="37" s="1"/>
  <c r="BD198" i="37"/>
  <c r="BB186" i="37"/>
  <c r="BE186" i="37" s="1"/>
  <c r="BD176" i="37"/>
  <c r="BD187" i="37"/>
  <c r="BD175" i="37"/>
  <c r="BD163" i="37"/>
  <c r="E102" i="47" l="1"/>
  <c r="E61" i="47"/>
  <c r="T61" i="47"/>
  <c r="E60" i="47"/>
  <c r="T60" i="47"/>
  <c r="AV361" i="37"/>
  <c r="W132" i="37"/>
  <c r="G87" i="37"/>
  <c r="W87" i="37"/>
  <c r="G119" i="37"/>
  <c r="W119" i="37"/>
  <c r="G111" i="37"/>
  <c r="W111" i="37"/>
  <c r="G104" i="37"/>
  <c r="W104" i="37"/>
  <c r="G100" i="37"/>
  <c r="W100" i="37"/>
  <c r="G96" i="37"/>
  <c r="W96" i="37"/>
  <c r="G92" i="37"/>
  <c r="W92" i="37"/>
  <c r="G88" i="37"/>
  <c r="W88" i="37"/>
  <c r="G83" i="37"/>
  <c r="W83" i="37"/>
  <c r="G79" i="37"/>
  <c r="W79" i="37"/>
  <c r="G114" i="37"/>
  <c r="W114" i="37"/>
  <c r="G122" i="37"/>
  <c r="W122" i="37"/>
  <c r="G118" i="37"/>
  <c r="W118" i="37"/>
  <c r="G75" i="37"/>
  <c r="W75" i="37"/>
  <c r="G117" i="37"/>
  <c r="W117" i="37"/>
  <c r="G109" i="37"/>
  <c r="W109" i="37"/>
  <c r="G103" i="37"/>
  <c r="W103" i="37"/>
  <c r="G99" i="37"/>
  <c r="W99" i="37"/>
  <c r="G95" i="37"/>
  <c r="W95" i="37"/>
  <c r="G91" i="37"/>
  <c r="W91" i="37"/>
  <c r="G86" i="37"/>
  <c r="W86" i="37"/>
  <c r="G82" i="37"/>
  <c r="W82" i="37"/>
  <c r="G78" i="37"/>
  <c r="W78" i="37"/>
  <c r="G110" i="37"/>
  <c r="W110" i="37"/>
  <c r="G112" i="37"/>
  <c r="W112" i="37"/>
  <c r="G116" i="37"/>
  <c r="W116" i="37"/>
  <c r="G115" i="37"/>
  <c r="W115" i="37"/>
  <c r="G107" i="37"/>
  <c r="W107" i="37"/>
  <c r="G102" i="37"/>
  <c r="W102" i="37"/>
  <c r="G98" i="37"/>
  <c r="W98" i="37"/>
  <c r="G94" i="37"/>
  <c r="W94" i="37"/>
  <c r="G90" i="37"/>
  <c r="W90" i="37"/>
  <c r="G85" i="37"/>
  <c r="W85" i="37"/>
  <c r="G81" i="37"/>
  <c r="W81" i="37"/>
  <c r="G74" i="37"/>
  <c r="W74" i="37"/>
  <c r="G106" i="37"/>
  <c r="W106" i="37"/>
  <c r="G108" i="37"/>
  <c r="W108" i="37"/>
  <c r="G121" i="37"/>
  <c r="W121" i="37"/>
  <c r="G113" i="37"/>
  <c r="W113" i="37"/>
  <c r="G105" i="37"/>
  <c r="W105" i="37"/>
  <c r="G101" i="37"/>
  <c r="W101" i="37"/>
  <c r="G97" i="37"/>
  <c r="W97" i="37"/>
  <c r="G93" i="37"/>
  <c r="W93" i="37"/>
  <c r="G89" i="37"/>
  <c r="W89" i="37"/>
  <c r="G84" i="37"/>
  <c r="W84" i="37"/>
  <c r="G80" i="37"/>
  <c r="W80" i="37"/>
  <c r="G120" i="37"/>
  <c r="W120" i="37"/>
  <c r="G77" i="37"/>
  <c r="W77" i="37"/>
  <c r="G76" i="37"/>
  <c r="W76" i="37"/>
  <c r="G13" i="37"/>
  <c r="W13" i="37"/>
  <c r="G220" i="37"/>
  <c r="D36" i="46"/>
  <c r="C35" i="46"/>
  <c r="H13" i="37"/>
  <c r="H75" i="37"/>
  <c r="H121" i="37"/>
  <c r="H117" i="37"/>
  <c r="H113" i="37"/>
  <c r="H109" i="37"/>
  <c r="H105" i="37"/>
  <c r="H103" i="37"/>
  <c r="H101" i="37"/>
  <c r="H99" i="37"/>
  <c r="H97" i="37"/>
  <c r="H95" i="37"/>
  <c r="H93" i="37"/>
  <c r="H91" i="37"/>
  <c r="H89" i="37"/>
  <c r="H86" i="37"/>
  <c r="H84" i="37"/>
  <c r="H82" i="37"/>
  <c r="H80" i="37"/>
  <c r="H78" i="37"/>
  <c r="H120" i="37"/>
  <c r="H110" i="37"/>
  <c r="H77" i="37"/>
  <c r="H112" i="37"/>
  <c r="H76" i="37"/>
  <c r="H87" i="37"/>
  <c r="H116" i="37"/>
  <c r="H119" i="37"/>
  <c r="H115" i="37"/>
  <c r="H111" i="37"/>
  <c r="H107" i="37"/>
  <c r="H104" i="37"/>
  <c r="H102" i="37"/>
  <c r="H100" i="37"/>
  <c r="H98" i="37"/>
  <c r="H96" i="37"/>
  <c r="H94" i="37"/>
  <c r="H92" i="37"/>
  <c r="H90" i="37"/>
  <c r="H88" i="37"/>
  <c r="H85" i="37"/>
  <c r="H83" i="37"/>
  <c r="H81" i="37"/>
  <c r="H79" i="37"/>
  <c r="H74" i="37"/>
  <c r="H114" i="37"/>
  <c r="H106" i="37"/>
  <c r="H122" i="37"/>
  <c r="H108" i="37"/>
  <c r="H118" i="37"/>
  <c r="X28" i="37"/>
  <c r="AA110" i="37"/>
  <c r="V137" i="37"/>
  <c r="AA117" i="37"/>
  <c r="V144" i="37"/>
  <c r="Z118" i="37"/>
  <c r="U145" i="37"/>
  <c r="Z120" i="37"/>
  <c r="U147" i="37"/>
  <c r="Z110" i="37"/>
  <c r="U137" i="37"/>
  <c r="AA107" i="37"/>
  <c r="V134" i="37"/>
  <c r="AA108" i="37"/>
  <c r="V135" i="37"/>
  <c r="Z106" i="37"/>
  <c r="U133" i="37"/>
  <c r="Z109" i="37"/>
  <c r="U136" i="37"/>
  <c r="Z122" i="37"/>
  <c r="U149" i="37"/>
  <c r="AA114" i="37"/>
  <c r="V141" i="37"/>
  <c r="AA106" i="37"/>
  <c r="V133" i="37"/>
  <c r="Z119" i="37"/>
  <c r="U146" i="37"/>
  <c r="Z113" i="37"/>
  <c r="U140" i="37"/>
  <c r="AA111" i="37"/>
  <c r="V138" i="37"/>
  <c r="AA121" i="37"/>
  <c r="V148" i="37"/>
  <c r="AA116" i="37"/>
  <c r="V143" i="37"/>
  <c r="AA115" i="37"/>
  <c r="V142" i="37"/>
  <c r="AA132" i="37"/>
  <c r="Z108" i="37"/>
  <c r="U135" i="37"/>
  <c r="Z107" i="37"/>
  <c r="U134" i="37"/>
  <c r="Z116" i="37"/>
  <c r="U143" i="37"/>
  <c r="AA122" i="37"/>
  <c r="V149" i="37"/>
  <c r="Z132" i="37"/>
  <c r="Z115" i="37"/>
  <c r="U142" i="37"/>
  <c r="Z114" i="37"/>
  <c r="U141" i="37"/>
  <c r="Z117" i="37"/>
  <c r="U144" i="37"/>
  <c r="AA119" i="37"/>
  <c r="V146" i="37"/>
  <c r="AA113" i="37"/>
  <c r="V140" i="37"/>
  <c r="Z112" i="37"/>
  <c r="U139" i="37"/>
  <c r="AA118" i="37"/>
  <c r="V145" i="37"/>
  <c r="AA112" i="37"/>
  <c r="V139" i="37"/>
  <c r="AA109" i="37"/>
  <c r="V136" i="37"/>
  <c r="Z111" i="37"/>
  <c r="U138" i="37"/>
  <c r="AA120" i="37"/>
  <c r="V147" i="37"/>
  <c r="Z121" i="37"/>
  <c r="U148" i="37"/>
  <c r="X224" i="37"/>
  <c r="A224" i="37" s="1"/>
  <c r="W221" i="37"/>
  <c r="BA163" i="37"/>
  <c r="BB176" i="37"/>
  <c r="BE176" i="37" s="1"/>
  <c r="BA175" i="37"/>
  <c r="BA198" i="37"/>
  <c r="BB187" i="37"/>
  <c r="BE187" i="37" s="1"/>
  <c r="BB209" i="37"/>
  <c r="BE209" i="37" s="1"/>
  <c r="J43" i="37"/>
  <c r="BA199" i="37"/>
  <c r="BA186" i="37"/>
  <c r="BA210" i="37"/>
  <c r="BB210" i="37"/>
  <c r="BE210" i="37" s="1"/>
  <c r="BA164" i="37"/>
  <c r="AY224" i="37"/>
  <c r="BP221" i="37"/>
  <c r="BM221" i="37"/>
  <c r="BJ221" i="37"/>
  <c r="BG221" i="37"/>
  <c r="AY221" i="37"/>
  <c r="Z221" i="37"/>
  <c r="BP220" i="37"/>
  <c r="BM220" i="37"/>
  <c r="BJ220" i="37"/>
  <c r="BG220" i="37"/>
  <c r="AY220" i="37"/>
  <c r="AZ220" i="37" s="1"/>
  <c r="Z220" i="37"/>
  <c r="Z161" i="37"/>
  <c r="H161" i="37"/>
  <c r="Z160" i="37"/>
  <c r="H160" i="37"/>
  <c r="Z159" i="37"/>
  <c r="H159" i="37"/>
  <c r="Z158" i="37"/>
  <c r="H158" i="37"/>
  <c r="Z157" i="37"/>
  <c r="H157" i="37"/>
  <c r="Z156" i="37"/>
  <c r="H156" i="37"/>
  <c r="AY154" i="37"/>
  <c r="Z155" i="37"/>
  <c r="H155" i="37"/>
  <c r="Z154" i="37"/>
  <c r="H154" i="37"/>
  <c r="AY153" i="37"/>
  <c r="Z153" i="37"/>
  <c r="H153" i="37"/>
  <c r="AY68" i="37"/>
  <c r="AZ68" i="37" s="1"/>
  <c r="AY67" i="37"/>
  <c r="AZ67" i="37" s="1"/>
  <c r="AY66" i="37"/>
  <c r="AZ66" i="37" s="1"/>
  <c r="AY65" i="37"/>
  <c r="AZ65" i="37" s="1"/>
  <c r="AY64" i="37"/>
  <c r="AZ64" i="37" s="1"/>
  <c r="AY63" i="37"/>
  <c r="AZ63" i="37" s="1"/>
  <c r="AY62" i="37"/>
  <c r="AZ62" i="37" s="1"/>
  <c r="AY61" i="37"/>
  <c r="AZ61" i="37" s="1"/>
  <c r="AY60" i="37"/>
  <c r="AZ60" i="37" s="1"/>
  <c r="AY59" i="37"/>
  <c r="AZ59" i="37" s="1"/>
  <c r="AY57" i="37"/>
  <c r="AZ57" i="37" s="1"/>
  <c r="AY56" i="37"/>
  <c r="AZ56" i="37" s="1"/>
  <c r="AY55" i="37"/>
  <c r="AZ55" i="37" s="1"/>
  <c r="AY54" i="37"/>
  <c r="AZ54" i="37" s="1"/>
  <c r="AY53" i="37"/>
  <c r="AZ53" i="37" s="1"/>
  <c r="AY52" i="37"/>
  <c r="AZ52" i="37" s="1"/>
  <c r="AY51" i="37"/>
  <c r="AZ51" i="37" s="1"/>
  <c r="AY50" i="37"/>
  <c r="AZ50" i="37" s="1"/>
  <c r="AY49" i="37"/>
  <c r="AZ49" i="37" s="1"/>
  <c r="AY48" i="37"/>
  <c r="AZ48" i="37" s="1"/>
  <c r="AY47" i="37"/>
  <c r="AZ47" i="37" s="1"/>
  <c r="AY46" i="37"/>
  <c r="AZ46" i="37" s="1"/>
  <c r="AY45" i="37"/>
  <c r="AZ45" i="37" s="1"/>
  <c r="AY44" i="37"/>
  <c r="AZ44" i="37" s="1"/>
  <c r="AY42" i="37"/>
  <c r="AZ42" i="37" s="1"/>
  <c r="AY41" i="37"/>
  <c r="AZ41" i="37" s="1"/>
  <c r="AY40" i="37"/>
  <c r="AZ40" i="37" s="1"/>
  <c r="AY39" i="37"/>
  <c r="AZ39" i="37" s="1"/>
  <c r="AY38" i="37"/>
  <c r="AZ38" i="37" s="1"/>
  <c r="AY37" i="37"/>
  <c r="AZ37" i="37" s="1"/>
  <c r="AY36" i="37"/>
  <c r="AZ36" i="37" s="1"/>
  <c r="AY35" i="37"/>
  <c r="AZ35" i="37" s="1"/>
  <c r="AY34" i="37"/>
  <c r="AZ34" i="37" s="1"/>
  <c r="AY33" i="37"/>
  <c r="AZ33" i="37" s="1"/>
  <c r="AY32" i="37"/>
  <c r="AZ32" i="37" s="1"/>
  <c r="AY31" i="37"/>
  <c r="AZ31" i="37" s="1"/>
  <c r="AY30" i="37"/>
  <c r="AZ30" i="37" s="1"/>
  <c r="AY29" i="37"/>
  <c r="AZ29" i="37" s="1"/>
  <c r="AY27" i="37"/>
  <c r="AZ27" i="37" s="1"/>
  <c r="AY26" i="37"/>
  <c r="AZ26" i="37" s="1"/>
  <c r="AY25" i="37"/>
  <c r="AZ25" i="37" s="1"/>
  <c r="AY24" i="37"/>
  <c r="AZ24" i="37" s="1"/>
  <c r="AY23" i="37"/>
  <c r="AZ23" i="37" s="1"/>
  <c r="AY22" i="37"/>
  <c r="AZ22" i="37" s="1"/>
  <c r="AY21" i="37"/>
  <c r="AZ21" i="37" s="1"/>
  <c r="AY20" i="37"/>
  <c r="AZ20" i="37" s="1"/>
  <c r="AY19" i="37"/>
  <c r="AZ19" i="37" s="1"/>
  <c r="AY18" i="37"/>
  <c r="AZ18" i="37" s="1"/>
  <c r="AY17" i="37"/>
  <c r="AZ17" i="37" s="1"/>
  <c r="AY16" i="37"/>
  <c r="AZ16" i="37" s="1"/>
  <c r="AY15" i="37"/>
  <c r="AZ15" i="37" s="1"/>
  <c r="AY14" i="37"/>
  <c r="AZ14" i="37" s="1"/>
  <c r="AY12" i="37"/>
  <c r="AZ12" i="37" s="1"/>
  <c r="AY11" i="37"/>
  <c r="AZ11" i="37" s="1"/>
  <c r="AY10" i="37"/>
  <c r="AZ10" i="37" s="1"/>
  <c r="AY9" i="37"/>
  <c r="AZ9" i="37" s="1"/>
  <c r="AY152" i="37"/>
  <c r="AY151" i="37"/>
  <c r="AZ151" i="37" s="1"/>
  <c r="Z152" i="37"/>
  <c r="H152" i="37"/>
  <c r="Z151" i="37"/>
  <c r="Z53" i="37"/>
  <c r="Z52" i="37"/>
  <c r="Z51" i="37"/>
  <c r="Z50" i="37"/>
  <c r="Z49" i="37"/>
  <c r="Z48" i="37"/>
  <c r="Z47" i="37"/>
  <c r="Z46" i="37"/>
  <c r="Z45" i="37"/>
  <c r="Z44" i="37"/>
  <c r="Z42" i="37"/>
  <c r="Z41" i="37"/>
  <c r="Z40" i="37"/>
  <c r="Z39" i="37"/>
  <c r="Z224" i="37"/>
  <c r="Z38" i="37"/>
  <c r="Z37" i="37"/>
  <c r="Z36" i="37"/>
  <c r="Z35" i="37"/>
  <c r="Z34" i="37"/>
  <c r="Z33" i="37"/>
  <c r="Z32" i="37"/>
  <c r="Z31" i="37"/>
  <c r="Z30" i="37"/>
  <c r="Z29" i="37"/>
  <c r="Z27" i="37"/>
  <c r="Z26" i="37"/>
  <c r="Z25" i="37"/>
  <c r="Z24" i="37"/>
  <c r="Z68" i="37"/>
  <c r="Z67" i="37"/>
  <c r="Z66" i="37"/>
  <c r="Z65" i="37"/>
  <c r="Z64" i="37"/>
  <c r="Z63" i="37"/>
  <c r="Z62" i="37"/>
  <c r="Z61" i="37"/>
  <c r="Z60" i="37"/>
  <c r="Z59" i="37"/>
  <c r="Z57" i="37"/>
  <c r="Z56" i="37"/>
  <c r="Z55" i="37"/>
  <c r="Z54" i="37"/>
  <c r="Z23" i="37"/>
  <c r="Z22" i="37"/>
  <c r="Z21" i="37"/>
  <c r="Z20" i="37"/>
  <c r="Z19" i="37"/>
  <c r="Z18" i="37"/>
  <c r="Z17" i="37"/>
  <c r="Z16" i="37"/>
  <c r="Z15" i="37"/>
  <c r="Z14" i="37"/>
  <c r="Z12" i="37"/>
  <c r="Z11" i="37"/>
  <c r="Z10" i="37"/>
  <c r="W144" i="37" l="1"/>
  <c r="W142" i="37"/>
  <c r="W138" i="37"/>
  <c r="W141" i="37"/>
  <c r="W137" i="37"/>
  <c r="W143" i="37"/>
  <c r="W135" i="37"/>
  <c r="W134" i="37"/>
  <c r="W148" i="37"/>
  <c r="W140" i="37"/>
  <c r="W149" i="37"/>
  <c r="W133" i="37"/>
  <c r="W147" i="37"/>
  <c r="W139" i="37"/>
  <c r="W146" i="37"/>
  <c r="W136" i="37"/>
  <c r="W145" i="37"/>
  <c r="G28" i="37"/>
  <c r="W28" i="37"/>
  <c r="G221" i="37"/>
  <c r="D37" i="46"/>
  <c r="C36" i="46"/>
  <c r="H28" i="37"/>
  <c r="AV221" i="37"/>
  <c r="X43" i="37"/>
  <c r="Z143" i="37"/>
  <c r="AA142" i="37"/>
  <c r="Z140" i="37"/>
  <c r="AA133" i="37"/>
  <c r="Z149" i="37"/>
  <c r="Z133" i="37"/>
  <c r="AA134" i="37"/>
  <c r="Z147" i="37"/>
  <c r="AA147" i="37"/>
  <c r="AA136" i="37"/>
  <c r="AA145" i="37"/>
  <c r="AA140" i="37"/>
  <c r="Z144" i="37"/>
  <c r="Z142" i="37"/>
  <c r="Z135" i="37"/>
  <c r="AA148" i="37"/>
  <c r="AA144" i="37"/>
  <c r="AA149" i="37"/>
  <c r="Z134" i="37"/>
  <c r="AA143" i="37"/>
  <c r="AA138" i="37"/>
  <c r="Z146" i="37"/>
  <c r="AA141" i="37"/>
  <c r="Z136" i="37"/>
  <c r="AA135" i="37"/>
  <c r="Z137" i="37"/>
  <c r="Z145" i="37"/>
  <c r="AA137" i="37"/>
  <c r="Z148" i="37"/>
  <c r="Z138" i="37"/>
  <c r="AA139" i="37"/>
  <c r="Z139" i="37"/>
  <c r="AA146" i="37"/>
  <c r="Z141" i="37"/>
  <c r="BB11" i="37"/>
  <c r="BA11" i="37"/>
  <c r="BB20" i="37"/>
  <c r="BA20" i="37"/>
  <c r="BB29" i="37"/>
  <c r="BA29" i="37"/>
  <c r="BB37" i="37"/>
  <c r="BA37" i="37"/>
  <c r="BB50" i="37"/>
  <c r="BA50" i="37"/>
  <c r="BB59" i="37"/>
  <c r="BA59" i="37"/>
  <c r="BB67" i="37"/>
  <c r="BA67" i="37"/>
  <c r="BB12" i="37"/>
  <c r="BA12" i="37"/>
  <c r="BB21" i="37"/>
  <c r="BA21" i="37"/>
  <c r="BB25" i="37"/>
  <c r="BA25" i="37"/>
  <c r="BB34" i="37"/>
  <c r="BA34" i="37"/>
  <c r="BB42" i="37"/>
  <c r="BA42" i="37"/>
  <c r="BB51" i="37"/>
  <c r="BA51" i="37"/>
  <c r="BB55" i="37"/>
  <c r="BA55" i="37"/>
  <c r="BB60" i="37"/>
  <c r="BA60" i="37"/>
  <c r="BB64" i="37"/>
  <c r="BA64" i="37"/>
  <c r="BB68" i="37"/>
  <c r="BA68" i="37"/>
  <c r="BB14" i="37"/>
  <c r="BA14" i="37"/>
  <c r="BB18" i="37"/>
  <c r="BA18" i="37"/>
  <c r="BB22" i="37"/>
  <c r="BA22" i="37"/>
  <c r="BB26" i="37"/>
  <c r="BA26" i="37"/>
  <c r="BB31" i="37"/>
  <c r="BA31" i="37"/>
  <c r="BB35" i="37"/>
  <c r="BA35" i="37"/>
  <c r="BB39" i="37"/>
  <c r="BA39" i="37"/>
  <c r="BB44" i="37"/>
  <c r="BA44" i="37"/>
  <c r="BB48" i="37"/>
  <c r="BA48" i="37"/>
  <c r="BB52" i="37"/>
  <c r="BA52" i="37"/>
  <c r="BB56" i="37"/>
  <c r="BA56" i="37"/>
  <c r="BB61" i="37"/>
  <c r="BA61" i="37"/>
  <c r="BB65" i="37"/>
  <c r="BA65" i="37"/>
  <c r="BB16" i="37"/>
  <c r="BA16" i="37"/>
  <c r="BB24" i="37"/>
  <c r="BA24" i="37"/>
  <c r="BB33" i="37"/>
  <c r="BA33" i="37"/>
  <c r="BB41" i="37"/>
  <c r="BA41" i="37"/>
  <c r="BB46" i="37"/>
  <c r="BA46" i="37"/>
  <c r="BB54" i="37"/>
  <c r="BA54" i="37"/>
  <c r="BB63" i="37"/>
  <c r="BA63" i="37"/>
  <c r="BB17" i="37"/>
  <c r="BA17" i="37"/>
  <c r="BB30" i="37"/>
  <c r="BA30" i="37"/>
  <c r="BB38" i="37"/>
  <c r="BA38" i="37"/>
  <c r="BB47" i="37"/>
  <c r="BA47" i="37"/>
  <c r="BB9" i="37"/>
  <c r="BA9" i="37"/>
  <c r="BB10" i="37"/>
  <c r="BA10" i="37"/>
  <c r="BB15" i="37"/>
  <c r="BA15" i="37"/>
  <c r="BB19" i="37"/>
  <c r="BA19" i="37"/>
  <c r="BB23" i="37"/>
  <c r="BA23" i="37"/>
  <c r="BB27" i="37"/>
  <c r="BA27" i="37"/>
  <c r="BB32" i="37"/>
  <c r="BA32" i="37"/>
  <c r="BB36" i="37"/>
  <c r="BA36" i="37"/>
  <c r="BB40" i="37"/>
  <c r="BA40" i="37"/>
  <c r="BB45" i="37"/>
  <c r="BA45" i="37"/>
  <c r="BB49" i="37"/>
  <c r="BA49" i="37"/>
  <c r="BB53" i="37"/>
  <c r="BA53" i="37"/>
  <c r="BB57" i="37"/>
  <c r="BA57" i="37"/>
  <c r="BB62" i="37"/>
  <c r="BA62" i="37"/>
  <c r="BB66" i="37"/>
  <c r="BA66" i="37"/>
  <c r="X225" i="37"/>
  <c r="A225" i="37" s="1"/>
  <c r="W224" i="37"/>
  <c r="BC153" i="37"/>
  <c r="BD153" i="37" s="1"/>
  <c r="AZ153" i="37"/>
  <c r="AZ221" i="37"/>
  <c r="BA221" i="37" s="1"/>
  <c r="AZ152" i="37"/>
  <c r="BC152" i="37"/>
  <c r="BD152" i="37" s="1"/>
  <c r="J58" i="37"/>
  <c r="BH221" i="37"/>
  <c r="BK221" i="37" s="1"/>
  <c r="BN221" i="37"/>
  <c r="BQ221" i="37" s="1"/>
  <c r="BH220" i="37"/>
  <c r="BK220" i="37" s="1"/>
  <c r="BA220" i="37"/>
  <c r="BN220" i="37"/>
  <c r="BQ220" i="37" s="1"/>
  <c r="G43" i="37" l="1"/>
  <c r="W43" i="37"/>
  <c r="G224" i="37"/>
  <c r="D38" i="46"/>
  <c r="C38" i="46" s="1"/>
  <c r="C37" i="46"/>
  <c r="AV439" i="37"/>
  <c r="AV146" i="37"/>
  <c r="H43" i="37"/>
  <c r="AV143" i="37"/>
  <c r="AV135" i="37"/>
  <c r="X58" i="37"/>
  <c r="BA152" i="37"/>
  <c r="BB152" i="37"/>
  <c r="BE152" i="37" s="1"/>
  <c r="X226" i="37"/>
  <c r="A226" i="37" s="1"/>
  <c r="W225" i="37"/>
  <c r="BB153" i="37"/>
  <c r="BE153" i="37" s="1"/>
  <c r="BA153" i="37"/>
  <c r="AA68" i="37"/>
  <c r="AA67" i="37"/>
  <c r="AA66" i="37"/>
  <c r="AA65" i="37"/>
  <c r="AA64" i="37"/>
  <c r="AA63" i="37"/>
  <c r="AA62" i="37"/>
  <c r="AA61" i="37"/>
  <c r="AA60" i="37"/>
  <c r="AA59" i="37"/>
  <c r="AA57" i="37"/>
  <c r="AA56" i="37"/>
  <c r="AA55" i="37"/>
  <c r="AA54" i="37"/>
  <c r="AA23" i="37"/>
  <c r="AA22" i="37"/>
  <c r="AA21" i="37"/>
  <c r="AA20" i="37"/>
  <c r="AA19" i="37"/>
  <c r="AA18" i="37"/>
  <c r="AA17" i="37"/>
  <c r="AA16" i="37"/>
  <c r="AA15" i="37"/>
  <c r="AA14" i="37"/>
  <c r="AA12" i="37"/>
  <c r="AA11" i="37"/>
  <c r="AA10" i="37"/>
  <c r="J23" i="37"/>
  <c r="J22" i="37"/>
  <c r="J21" i="37"/>
  <c r="J20" i="37"/>
  <c r="J19" i="37"/>
  <c r="J18" i="37"/>
  <c r="J17" i="37"/>
  <c r="J16" i="37"/>
  <c r="J15" i="37"/>
  <c r="J14" i="37"/>
  <c r="J12" i="37"/>
  <c r="J11" i="37"/>
  <c r="J10" i="37"/>
  <c r="J9" i="37"/>
  <c r="X9" i="37" s="1"/>
  <c r="W9" i="37" s="1"/>
  <c r="Z9" i="37"/>
  <c r="AA9" i="37"/>
  <c r="G58" i="37" l="1"/>
  <c r="W58" i="37"/>
  <c r="G225" i="37"/>
  <c r="G9" i="37"/>
  <c r="H9" i="37"/>
  <c r="AV9" i="37" s="1"/>
  <c r="AV147" i="37"/>
  <c r="AV13" i="37"/>
  <c r="AV149" i="37"/>
  <c r="AV140" i="37"/>
  <c r="AV148" i="37"/>
  <c r="AV134" i="37"/>
  <c r="AV141" i="37"/>
  <c r="AV137" i="37"/>
  <c r="AV144" i="37"/>
  <c r="AV136" i="37"/>
  <c r="AV28" i="37"/>
  <c r="AV142" i="37"/>
  <c r="AV138" i="37"/>
  <c r="AV139" i="37"/>
  <c r="AV133" i="37"/>
  <c r="AV132" i="37"/>
  <c r="AV390" i="37"/>
  <c r="AV145" i="37"/>
  <c r="AV442" i="37"/>
  <c r="AV402" i="37"/>
  <c r="AV43" i="37"/>
  <c r="AV388" i="37"/>
  <c r="AV405" i="37"/>
  <c r="AV396" i="37"/>
  <c r="AV384" i="37"/>
  <c r="AV407" i="37"/>
  <c r="AV398" i="37"/>
  <c r="AV413" i="37"/>
  <c r="AV411" i="37"/>
  <c r="AV397" i="37"/>
  <c r="AV401" i="37"/>
  <c r="AV358" i="37"/>
  <c r="AV410" i="37"/>
  <c r="AV394" i="37"/>
  <c r="AV359" i="37"/>
  <c r="AV391" i="37"/>
  <c r="AV387" i="37"/>
  <c r="AV399" i="37"/>
  <c r="AV383" i="37"/>
  <c r="AV392" i="37"/>
  <c r="AV393" i="37"/>
  <c r="AV403" i="37"/>
  <c r="AV408" i="37"/>
  <c r="AV406" i="37"/>
  <c r="AV412" i="37"/>
  <c r="AV386" i="37"/>
  <c r="AV400" i="37"/>
  <c r="AV404" i="37"/>
  <c r="AV409" i="37"/>
  <c r="AV385" i="37"/>
  <c r="AV389" i="37"/>
  <c r="AV395" i="37"/>
  <c r="H58" i="37"/>
  <c r="AV58" i="37" s="1"/>
  <c r="X11" i="37"/>
  <c r="X16" i="37"/>
  <c r="X20" i="37"/>
  <c r="X10" i="37"/>
  <c r="W10" i="37" s="1"/>
  <c r="X19" i="37"/>
  <c r="X15" i="37"/>
  <c r="X23" i="37"/>
  <c r="X12" i="37"/>
  <c r="X17" i="37"/>
  <c r="X21" i="37"/>
  <c r="X14" i="37"/>
  <c r="X18" i="37"/>
  <c r="X22" i="37"/>
  <c r="X227" i="37"/>
  <c r="A227" i="37" s="1"/>
  <c r="W226" i="37"/>
  <c r="H151" i="37"/>
  <c r="J31" i="37"/>
  <c r="J27" i="37"/>
  <c r="J32" i="37"/>
  <c r="J36" i="37"/>
  <c r="J26" i="37"/>
  <c r="J35" i="37"/>
  <c r="J24" i="37"/>
  <c r="J29" i="37"/>
  <c r="J33" i="37"/>
  <c r="J37" i="37"/>
  <c r="J25" i="37"/>
  <c r="J30" i="37"/>
  <c r="J34" i="37"/>
  <c r="J38" i="37"/>
  <c r="G22" i="37" l="1"/>
  <c r="W22" i="37"/>
  <c r="G18" i="37"/>
  <c r="W18" i="37"/>
  <c r="G12" i="37"/>
  <c r="W12" i="37"/>
  <c r="G14" i="37"/>
  <c r="W14" i="37"/>
  <c r="G23" i="37"/>
  <c r="W23" i="37"/>
  <c r="G20" i="37"/>
  <c r="W20" i="37"/>
  <c r="G21" i="37"/>
  <c r="W21" i="37"/>
  <c r="G15" i="37"/>
  <c r="W15" i="37"/>
  <c r="G16" i="37"/>
  <c r="W16" i="37"/>
  <c r="G17" i="37"/>
  <c r="W17" i="37"/>
  <c r="G19" i="37"/>
  <c r="W19" i="37"/>
  <c r="G11" i="37"/>
  <c r="W11" i="37"/>
  <c r="G226" i="37"/>
  <c r="G10" i="37"/>
  <c r="H17" i="37"/>
  <c r="AV17" i="37" s="1"/>
  <c r="H19" i="37"/>
  <c r="AV19" i="37" s="1"/>
  <c r="H12" i="37"/>
  <c r="AV12" i="37" s="1"/>
  <c r="H10" i="37"/>
  <c r="H14" i="37"/>
  <c r="AV14" i="37" s="1"/>
  <c r="H20" i="37"/>
  <c r="AV20" i="37" s="1"/>
  <c r="H23" i="37"/>
  <c r="AV23" i="37" s="1"/>
  <c r="H21" i="37"/>
  <c r="AV21" i="37" s="1"/>
  <c r="H15" i="37"/>
  <c r="AV15" i="37" s="1"/>
  <c r="H16" i="37"/>
  <c r="AV16" i="37" s="1"/>
  <c r="H22" i="37"/>
  <c r="AV22" i="37" s="1"/>
  <c r="H11" i="37"/>
  <c r="AV11" i="37" s="1"/>
  <c r="X38" i="37"/>
  <c r="X30" i="37"/>
  <c r="X37" i="37"/>
  <c r="W37" i="37" s="1"/>
  <c r="X29" i="37"/>
  <c r="X35" i="37"/>
  <c r="X36" i="37"/>
  <c r="X27" i="37"/>
  <c r="H18" i="37"/>
  <c r="AV18" i="37" s="1"/>
  <c r="X34" i="37"/>
  <c r="X25" i="37"/>
  <c r="X33" i="37"/>
  <c r="X24" i="37"/>
  <c r="X26" i="37"/>
  <c r="X32" i="37"/>
  <c r="X31" i="37"/>
  <c r="X228" i="37"/>
  <c r="A228" i="37" s="1"/>
  <c r="W227" i="37"/>
  <c r="J40" i="37"/>
  <c r="J48" i="37"/>
  <c r="J47" i="37"/>
  <c r="J49" i="37"/>
  <c r="J39" i="37"/>
  <c r="J41" i="37"/>
  <c r="J46" i="37"/>
  <c r="J53" i="37"/>
  <c r="J45" i="37"/>
  <c r="J52" i="37"/>
  <c r="J44" i="37"/>
  <c r="J50" i="37"/>
  <c r="J51" i="37"/>
  <c r="J42" i="37"/>
  <c r="R6" i="34"/>
  <c r="R9" i="34" s="1"/>
  <c r="R7" i="34"/>
  <c r="S10" i="34"/>
  <c r="R12" i="34"/>
  <c r="R13" i="34"/>
  <c r="S13" i="34"/>
  <c r="R16" i="34"/>
  <c r="Q23" i="34" l="1"/>
  <c r="C38" i="31" s="1"/>
  <c r="G26" i="37"/>
  <c r="W26" i="37"/>
  <c r="G34" i="37"/>
  <c r="W34" i="37"/>
  <c r="G35" i="37"/>
  <c r="W35" i="37"/>
  <c r="G38" i="37"/>
  <c r="W38" i="37"/>
  <c r="G24" i="37"/>
  <c r="W24" i="37"/>
  <c r="G29" i="37"/>
  <c r="W29" i="37"/>
  <c r="G31" i="37"/>
  <c r="W31" i="37"/>
  <c r="G33" i="37"/>
  <c r="W33" i="37"/>
  <c r="G27" i="37"/>
  <c r="W27" i="37"/>
  <c r="G32" i="37"/>
  <c r="W32" i="37"/>
  <c r="G25" i="37"/>
  <c r="W25" i="37"/>
  <c r="G36" i="37"/>
  <c r="W36" i="37"/>
  <c r="G30" i="37"/>
  <c r="W30" i="37"/>
  <c r="G227" i="37"/>
  <c r="G37" i="37"/>
  <c r="H34" i="37"/>
  <c r="AV34" i="37" s="1"/>
  <c r="H35" i="37"/>
  <c r="AV35" i="37" s="1"/>
  <c r="H24" i="37"/>
  <c r="AV24" i="37" s="1"/>
  <c r="H29" i="37"/>
  <c r="AV29" i="37" s="1"/>
  <c r="H37" i="37"/>
  <c r="AV37" i="37" s="1"/>
  <c r="H27" i="37"/>
  <c r="AV27" i="37" s="1"/>
  <c r="H32" i="37"/>
  <c r="AV32" i="37" s="1"/>
  <c r="H25" i="37"/>
  <c r="H36" i="37"/>
  <c r="AV36" i="37" s="1"/>
  <c r="H30" i="37"/>
  <c r="AV30" i="37" s="1"/>
  <c r="H38" i="37"/>
  <c r="AV38" i="37" s="1"/>
  <c r="H31" i="37"/>
  <c r="AV31" i="37" s="1"/>
  <c r="H26" i="37"/>
  <c r="AV26" i="37" s="1"/>
  <c r="H33" i="37"/>
  <c r="AV33" i="37" s="1"/>
  <c r="X44" i="37"/>
  <c r="X46" i="37"/>
  <c r="X47" i="37"/>
  <c r="X42" i="37"/>
  <c r="X52" i="37"/>
  <c r="X41" i="37"/>
  <c r="X48" i="37"/>
  <c r="X45" i="37"/>
  <c r="X39" i="37"/>
  <c r="X51" i="37"/>
  <c r="X40" i="37"/>
  <c r="X50" i="37"/>
  <c r="X53" i="37"/>
  <c r="X49" i="37"/>
  <c r="X229" i="37"/>
  <c r="A229" i="37" s="1"/>
  <c r="W228" i="37"/>
  <c r="J54" i="37"/>
  <c r="J60" i="37"/>
  <c r="J59" i="37"/>
  <c r="J55" i="37"/>
  <c r="J66" i="37"/>
  <c r="J68" i="37"/>
  <c r="J65" i="37"/>
  <c r="J57" i="37"/>
  <c r="J67" i="37"/>
  <c r="J61" i="37"/>
  <c r="J64" i="37"/>
  <c r="J56" i="37"/>
  <c r="J63" i="37"/>
  <c r="J62" i="37"/>
  <c r="Q21" i="34"/>
  <c r="R15" i="34"/>
  <c r="Q20" i="34"/>
  <c r="Q18" i="34"/>
  <c r="R10" i="34"/>
  <c r="Q17" i="34"/>
  <c r="S12" i="34"/>
  <c r="S15" i="34" s="1"/>
  <c r="Z2" i="43" l="1"/>
  <c r="G40" i="37"/>
  <c r="W40" i="37"/>
  <c r="G48" i="37"/>
  <c r="W48" i="37"/>
  <c r="G47" i="37"/>
  <c r="W47" i="37"/>
  <c r="G49" i="37"/>
  <c r="W49" i="37"/>
  <c r="G41" i="37"/>
  <c r="W41" i="37"/>
  <c r="G46" i="37"/>
  <c r="W46" i="37"/>
  <c r="G51" i="37"/>
  <c r="W51" i="37"/>
  <c r="G53" i="37"/>
  <c r="W53" i="37"/>
  <c r="G39" i="37"/>
  <c r="W39" i="37"/>
  <c r="G52" i="37"/>
  <c r="W52" i="37"/>
  <c r="G44" i="37"/>
  <c r="W44" i="37"/>
  <c r="G50" i="37"/>
  <c r="W50" i="37"/>
  <c r="G45" i="37"/>
  <c r="W45" i="37"/>
  <c r="G42" i="37"/>
  <c r="W42" i="37"/>
  <c r="G228" i="37"/>
  <c r="H40" i="37"/>
  <c r="H51" i="37"/>
  <c r="AV51" i="37" s="1"/>
  <c r="H41" i="37"/>
  <c r="AV41" i="37" s="1"/>
  <c r="H44" i="37"/>
  <c r="AV44" i="37" s="1"/>
  <c r="H39" i="37"/>
  <c r="AV39" i="37" s="1"/>
  <c r="H52" i="37"/>
  <c r="AV52" i="37" s="1"/>
  <c r="H45" i="37"/>
  <c r="AV45" i="37" s="1"/>
  <c r="H42" i="37"/>
  <c r="AV42" i="37" s="1"/>
  <c r="H47" i="37"/>
  <c r="AV47" i="37" s="1"/>
  <c r="H53" i="37"/>
  <c r="AV53" i="37" s="1"/>
  <c r="H48" i="37"/>
  <c r="AV48" i="37" s="1"/>
  <c r="X61" i="37"/>
  <c r="X56" i="37"/>
  <c r="X67" i="37"/>
  <c r="X55" i="37"/>
  <c r="H46" i="37"/>
  <c r="AV46" i="37" s="1"/>
  <c r="X62" i="37"/>
  <c r="X63" i="37"/>
  <c r="X57" i="37"/>
  <c r="X64" i="37"/>
  <c r="X59" i="37"/>
  <c r="H49" i="37"/>
  <c r="AV49" i="37" s="1"/>
  <c r="H50" i="37"/>
  <c r="AV50" i="37" s="1"/>
  <c r="X66" i="37"/>
  <c r="X54" i="37"/>
  <c r="X65" i="37"/>
  <c r="X68" i="37"/>
  <c r="X60" i="37"/>
  <c r="X236" i="37"/>
  <c r="A236" i="37" s="1"/>
  <c r="W229" i="37"/>
  <c r="R17" i="34"/>
  <c r="R23" i="34" s="1"/>
  <c r="G65" i="37" l="1"/>
  <c r="W65" i="37"/>
  <c r="G63" i="37"/>
  <c r="W63" i="37"/>
  <c r="G67" i="37"/>
  <c r="W67" i="37"/>
  <c r="G54" i="37"/>
  <c r="W54" i="37"/>
  <c r="G59" i="37"/>
  <c r="W59" i="37"/>
  <c r="G62" i="37"/>
  <c r="W62" i="37"/>
  <c r="G56" i="37"/>
  <c r="W56" i="37"/>
  <c r="G60" i="37"/>
  <c r="W60" i="37"/>
  <c r="G66" i="37"/>
  <c r="W66" i="37"/>
  <c r="G64" i="37"/>
  <c r="W64" i="37"/>
  <c r="G61" i="37"/>
  <c r="W61" i="37"/>
  <c r="G68" i="37"/>
  <c r="W68" i="37"/>
  <c r="G57" i="37"/>
  <c r="W57" i="37"/>
  <c r="G55" i="37"/>
  <c r="W55" i="37"/>
  <c r="AC4" i="43"/>
  <c r="D38" i="31"/>
  <c r="G229" i="37"/>
  <c r="H66" i="37"/>
  <c r="AV66" i="37" s="1"/>
  <c r="H57" i="37"/>
  <c r="AV57" i="37" s="1"/>
  <c r="H55" i="37"/>
  <c r="H65" i="37"/>
  <c r="AV65" i="37" s="1"/>
  <c r="H63" i="37"/>
  <c r="AV63" i="37" s="1"/>
  <c r="H67" i="37"/>
  <c r="AV67" i="37" s="1"/>
  <c r="H54" i="37"/>
  <c r="AV54" i="37" s="1"/>
  <c r="H59" i="37"/>
  <c r="AV59" i="37" s="1"/>
  <c r="H62" i="37"/>
  <c r="AV62" i="37" s="1"/>
  <c r="H60" i="37"/>
  <c r="AV60" i="37" s="1"/>
  <c r="H64" i="37"/>
  <c r="AV64" i="37" s="1"/>
  <c r="H61" i="37"/>
  <c r="AV61" i="37" s="1"/>
  <c r="R18" i="34"/>
  <c r="R22" i="34" s="1"/>
  <c r="H68" i="37"/>
  <c r="AV68" i="37" s="1"/>
  <c r="H56" i="37"/>
  <c r="AV56" i="37" s="1"/>
  <c r="W236" i="37"/>
  <c r="X237" i="37"/>
  <c r="A237" i="37" s="1"/>
  <c r="G236" i="37" l="1"/>
  <c r="W237" i="37"/>
  <c r="X238" i="37"/>
  <c r="A238" i="37" s="1"/>
  <c r="E25" i="31"/>
  <c r="E35" i="31"/>
  <c r="S16" i="34" s="1"/>
  <c r="S17" i="34" s="1"/>
  <c r="S23" i="34" s="1"/>
  <c r="E38" i="31" s="1"/>
  <c r="Z4" i="43" l="1"/>
  <c r="G237" i="37"/>
  <c r="S18" i="34"/>
  <c r="S22" i="34" s="1"/>
  <c r="W238" i="37"/>
  <c r="X239" i="37"/>
  <c r="A239" i="37" s="1"/>
  <c r="G238" i="37" l="1"/>
  <c r="W239" i="37"/>
  <c r="X240" i="37"/>
  <c r="A240" i="37" s="1"/>
  <c r="E34" i="31"/>
  <c r="D34" i="31"/>
  <c r="G239" i="37" l="1"/>
  <c r="W240" i="37"/>
  <c r="X241" i="37"/>
  <c r="A241" i="37" s="1"/>
  <c r="D30" i="31"/>
  <c r="F30" i="31"/>
  <c r="G240" i="37" l="1"/>
  <c r="AV83" i="37"/>
  <c r="AV25" i="37"/>
  <c r="AV72" i="37"/>
  <c r="AV119" i="37"/>
  <c r="AV73" i="37"/>
  <c r="AV122" i="37"/>
  <c r="AV40" i="37"/>
  <c r="AV103" i="37"/>
  <c r="AV113" i="37"/>
  <c r="AV10" i="37"/>
  <c r="AV91" i="37"/>
  <c r="AV79" i="37"/>
  <c r="AV81" i="37"/>
  <c r="AV96" i="37"/>
  <c r="AV69" i="37"/>
  <c r="AV89" i="37"/>
  <c r="AV78" i="37"/>
  <c r="AV77" i="37"/>
  <c r="AV86" i="37"/>
  <c r="AV109" i="37"/>
  <c r="AV93" i="37"/>
  <c r="AV107" i="37"/>
  <c r="AV76" i="37"/>
  <c r="W241" i="37"/>
  <c r="X242" i="37"/>
  <c r="A242" i="37" s="1"/>
  <c r="O16" i="34"/>
  <c r="O15" i="34"/>
  <c r="O14" i="34"/>
  <c r="O13" i="34"/>
  <c r="G241" i="37" l="1"/>
  <c r="AV106" i="37"/>
  <c r="AV120" i="37"/>
  <c r="AV100" i="37"/>
  <c r="AV90" i="37"/>
  <c r="AV118" i="37"/>
  <c r="AV98" i="37"/>
  <c r="AV74" i="37"/>
  <c r="AV112" i="37"/>
  <c r="AV84" i="37"/>
  <c r="AV110" i="37"/>
  <c r="AV94" i="37"/>
  <c r="AV87" i="37"/>
  <c r="AV92" i="37"/>
  <c r="AV82" i="37"/>
  <c r="AV80" i="37"/>
  <c r="AV75" i="37"/>
  <c r="AV117" i="37"/>
  <c r="AV121" i="37"/>
  <c r="AV104" i="37"/>
  <c r="AV111" i="37"/>
  <c r="AV101" i="37"/>
  <c r="AV99" i="37"/>
  <c r="AV85" i="37"/>
  <c r="AV116" i="37"/>
  <c r="AV114" i="37"/>
  <c r="AV102" i="37"/>
  <c r="AV55" i="37"/>
  <c r="AV70" i="37"/>
  <c r="AV97" i="37"/>
  <c r="AV95" i="37"/>
  <c r="AV105" i="37"/>
  <c r="AV88" i="37"/>
  <c r="AV71" i="37"/>
  <c r="AV108" i="37"/>
  <c r="AV115" i="37"/>
  <c r="W242" i="37"/>
  <c r="X243" i="37"/>
  <c r="A243" i="37" s="1"/>
  <c r="L56" i="34"/>
  <c r="L59" i="34" l="1"/>
  <c r="G242" i="37"/>
  <c r="W243" i="37"/>
  <c r="X244" i="37"/>
  <c r="A244" i="37" s="1"/>
  <c r="L58" i="34"/>
  <c r="L54" i="34"/>
  <c r="O49" i="41" l="1"/>
  <c r="O55" i="47"/>
  <c r="O56" i="47"/>
  <c r="O64" i="47"/>
  <c r="O51" i="47"/>
  <c r="O63" i="47"/>
  <c r="O69" i="47"/>
  <c r="O119" i="47"/>
  <c r="O79" i="47"/>
  <c r="O40" i="47"/>
  <c r="O41" i="47"/>
  <c r="O92" i="47"/>
  <c r="O90" i="47"/>
  <c r="O93" i="47"/>
  <c r="O89" i="47"/>
  <c r="O57" i="47"/>
  <c r="O91" i="47"/>
  <c r="O52" i="47"/>
  <c r="O116" i="47"/>
  <c r="O60" i="47"/>
  <c r="O68" i="41"/>
  <c r="O48" i="41"/>
  <c r="O58" i="41"/>
  <c r="O57" i="41"/>
  <c r="G243" i="37"/>
  <c r="O56" i="41"/>
  <c r="W244" i="37"/>
  <c r="X245" i="37"/>
  <c r="A245" i="37" s="1"/>
  <c r="O94" i="41"/>
  <c r="O44" i="41"/>
  <c r="O79" i="41"/>
  <c r="O53" i="41"/>
  <c r="O50" i="41"/>
  <c r="O40" i="41"/>
  <c r="O91" i="41"/>
  <c r="O80" i="41"/>
  <c r="O45" i="41"/>
  <c r="O78" i="41"/>
  <c r="G244" i="37" l="1"/>
  <c r="W245" i="37"/>
  <c r="X252" i="37"/>
  <c r="A252" i="37" s="1"/>
  <c r="J55" i="34"/>
  <c r="G245" i="37" l="1"/>
  <c r="W252" i="37"/>
  <c r="X253" i="37"/>
  <c r="A253" i="37" s="1"/>
  <c r="P57" i="34"/>
  <c r="N57" i="34"/>
  <c r="L57" i="34" s="1"/>
  <c r="M57" i="34"/>
  <c r="O57" i="34"/>
  <c r="O39" i="47" l="1"/>
  <c r="O35" i="47"/>
  <c r="O31" i="47"/>
  <c r="O27" i="47"/>
  <c r="O117" i="47"/>
  <c r="O103" i="47"/>
  <c r="O94" i="47"/>
  <c r="O58" i="47"/>
  <c r="O42" i="47"/>
  <c r="O32" i="47"/>
  <c r="O53" i="47"/>
  <c r="O36" i="47"/>
  <c r="O28" i="47"/>
  <c r="O59" i="47"/>
  <c r="O111" i="47"/>
  <c r="O33" i="47"/>
  <c r="O29" i="47"/>
  <c r="O25" i="47"/>
  <c r="O102" i="47"/>
  <c r="O37" i="47"/>
  <c r="O107" i="47"/>
  <c r="O98" i="47"/>
  <c r="O61" i="47"/>
  <c r="O46" i="47"/>
  <c r="O38" i="47"/>
  <c r="O34" i="47"/>
  <c r="O30" i="47"/>
  <c r="O26" i="47"/>
  <c r="G252" i="37"/>
  <c r="W253" i="37"/>
  <c r="X254" i="37"/>
  <c r="A254" i="37" s="1"/>
  <c r="L96" i="34"/>
  <c r="O109" i="47" l="1"/>
  <c r="O48" i="47"/>
  <c r="O49" i="47"/>
  <c r="O100" i="47"/>
  <c r="O97" i="47"/>
  <c r="O95" i="47"/>
  <c r="O105" i="47"/>
  <c r="O44" i="47"/>
  <c r="O108" i="47"/>
  <c r="O47" i="47"/>
  <c r="O110" i="47"/>
  <c r="O101" i="47"/>
  <c r="O99" i="47"/>
  <c r="O104" i="47"/>
  <c r="O96" i="47"/>
  <c r="O45" i="47"/>
  <c r="O106" i="47"/>
  <c r="O43" i="47"/>
  <c r="G253" i="37"/>
  <c r="W254" i="37"/>
  <c r="X255" i="37"/>
  <c r="A255" i="37" s="1"/>
  <c r="O81" i="41"/>
  <c r="O51" i="41"/>
  <c r="O42" i="41"/>
  <c r="O39" i="41"/>
  <c r="O35" i="41"/>
  <c r="O31" i="41"/>
  <c r="O27" i="41"/>
  <c r="O54" i="41"/>
  <c r="O46" i="41"/>
  <c r="O41" i="41"/>
  <c r="O37" i="41"/>
  <c r="O33" i="41"/>
  <c r="O92" i="41"/>
  <c r="O84" i="41"/>
  <c r="O82" i="41"/>
  <c r="O36" i="41"/>
  <c r="O32" i="41"/>
  <c r="O28" i="41"/>
  <c r="O86" i="41"/>
  <c r="O83" i="41"/>
  <c r="O29" i="41"/>
  <c r="O25" i="41"/>
  <c r="O34" i="41"/>
  <c r="O26" i="41"/>
  <c r="O52" i="41"/>
  <c r="O30" i="41"/>
  <c r="O38" i="41"/>
  <c r="O85" i="41"/>
  <c r="L94" i="34"/>
  <c r="G254" i="37" l="1"/>
  <c r="W255" i="37"/>
  <c r="X256" i="37"/>
  <c r="A256" i="37" s="1"/>
  <c r="L46" i="41"/>
  <c r="T46" i="41" s="1"/>
  <c r="T51" i="41"/>
  <c r="L92" i="41"/>
  <c r="T92" i="41" s="1"/>
  <c r="W120" i="34"/>
  <c r="W119" i="34" s="1"/>
  <c r="C40" i="34"/>
  <c r="C39" i="34"/>
  <c r="C38" i="34"/>
  <c r="C37" i="34"/>
  <c r="C36" i="34"/>
  <c r="C35" i="34"/>
  <c r="C34" i="34"/>
  <c r="C33" i="34"/>
  <c r="C32" i="34"/>
  <c r="J41" i="41" s="1"/>
  <c r="K41" i="41" s="1"/>
  <c r="K82" i="41" s="1"/>
  <c r="E92" i="41" l="1"/>
  <c r="A463" i="37" s="1"/>
  <c r="E46" i="41"/>
  <c r="A361" i="37" s="1"/>
  <c r="E51" i="41"/>
  <c r="A377" i="37"/>
  <c r="A376" i="37"/>
  <c r="A364" i="37"/>
  <c r="A396" i="37"/>
  <c r="A365" i="37"/>
  <c r="A389" i="37"/>
  <c r="A413" i="37"/>
  <c r="A384" i="37"/>
  <c r="A370" i="37"/>
  <c r="A394" i="37"/>
  <c r="A410" i="37"/>
  <c r="A379" i="37"/>
  <c r="A403" i="37"/>
  <c r="A368" i="37"/>
  <c r="A409" i="37"/>
  <c r="A406" i="37"/>
  <c r="A399" i="37"/>
  <c r="A393" i="37"/>
  <c r="A358" i="37"/>
  <c r="A398" i="37"/>
  <c r="A391" i="37"/>
  <c r="A407" i="37"/>
  <c r="G255" i="37"/>
  <c r="C403" i="37"/>
  <c r="C395" i="37"/>
  <c r="C391" i="37"/>
  <c r="C387" i="37"/>
  <c r="C383" i="37"/>
  <c r="C371" i="37"/>
  <c r="C363" i="37"/>
  <c r="C412" i="37"/>
  <c r="C400" i="37"/>
  <c r="C388" i="37"/>
  <c r="C368" i="37"/>
  <c r="C406" i="37"/>
  <c r="C402" i="37"/>
  <c r="C398" i="37"/>
  <c r="C394" i="37"/>
  <c r="C382" i="37"/>
  <c r="C374" i="37"/>
  <c r="C370" i="37"/>
  <c r="C366" i="37"/>
  <c r="C362" i="37"/>
  <c r="C384" i="37"/>
  <c r="C413" i="37"/>
  <c r="C409" i="37"/>
  <c r="C405" i="37"/>
  <c r="C401" i="37"/>
  <c r="C389" i="37"/>
  <c r="C381" i="37"/>
  <c r="C377" i="37"/>
  <c r="C373" i="37"/>
  <c r="C369" i="37"/>
  <c r="C408" i="37"/>
  <c r="C376" i="37"/>
  <c r="C358" i="37"/>
  <c r="AV462" i="37"/>
  <c r="AV463" i="37"/>
  <c r="W256" i="37"/>
  <c r="X257" i="37"/>
  <c r="A257" i="37" s="1"/>
  <c r="M92" i="41"/>
  <c r="M51" i="41"/>
  <c r="M54" i="41" s="1"/>
  <c r="M46" i="41"/>
  <c r="L41" i="41"/>
  <c r="T41" i="41" s="1"/>
  <c r="L81" i="41"/>
  <c r="T81" i="41" s="1"/>
  <c r="L54" i="41"/>
  <c r="T54" i="41" s="1"/>
  <c r="L45" i="41"/>
  <c r="T45" i="41" s="1"/>
  <c r="L91" i="41"/>
  <c r="T91" i="41" s="1"/>
  <c r="R19" i="34"/>
  <c r="O55" i="34"/>
  <c r="P55" i="34" s="1"/>
  <c r="M55" i="34"/>
  <c r="U95" i="34"/>
  <c r="R95" i="34"/>
  <c r="U94" i="34"/>
  <c r="X90" i="34"/>
  <c r="X89" i="34"/>
  <c r="X88" i="34"/>
  <c r="X87" i="34"/>
  <c r="X86" i="34"/>
  <c r="X85" i="34"/>
  <c r="P94" i="34"/>
  <c r="V94" i="34"/>
  <c r="S94" i="34"/>
  <c r="S95" i="34" s="1"/>
  <c r="A437" i="37" l="1"/>
  <c r="A435" i="37"/>
  <c r="A433" i="37"/>
  <c r="A369" i="37"/>
  <c r="A404" i="37"/>
  <c r="A363" i="37"/>
  <c r="A400" i="37"/>
  <c r="A373" i="37"/>
  <c r="A366" i="37"/>
  <c r="C392" i="37"/>
  <c r="C385" i="37"/>
  <c r="C364" i="37"/>
  <c r="C378" i="37"/>
  <c r="C410" i="37"/>
  <c r="C367" i="37"/>
  <c r="C399" i="37"/>
  <c r="A367" i="37"/>
  <c r="A375" i="37"/>
  <c r="A411" i="37"/>
  <c r="A402" i="37"/>
  <c r="A372" i="37"/>
  <c r="A412" i="37"/>
  <c r="A401" i="37"/>
  <c r="C359" i="37"/>
  <c r="C393" i="37"/>
  <c r="C396" i="37"/>
  <c r="C386" i="37"/>
  <c r="C372" i="37"/>
  <c r="C375" i="37"/>
  <c r="C407" i="37"/>
  <c r="A374" i="37"/>
  <c r="A382" i="37"/>
  <c r="A395" i="37"/>
  <c r="A386" i="37"/>
  <c r="A405" i="37"/>
  <c r="A380" i="37"/>
  <c r="A359" i="37"/>
  <c r="C365" i="37"/>
  <c r="C397" i="37"/>
  <c r="C404" i="37"/>
  <c r="C390" i="37"/>
  <c r="C380" i="37"/>
  <c r="C379" i="37"/>
  <c r="C411" i="37"/>
  <c r="A392" i="37"/>
  <c r="A408" i="37"/>
  <c r="A387" i="37"/>
  <c r="A378" i="37"/>
  <c r="A397" i="37"/>
  <c r="A383" i="37"/>
  <c r="A385" i="37"/>
  <c r="A371" i="37"/>
  <c r="A362" i="37"/>
  <c r="A381" i="37"/>
  <c r="A390" i="37"/>
  <c r="A388" i="37"/>
  <c r="A360" i="37"/>
  <c r="M107" i="47"/>
  <c r="M46" i="47"/>
  <c r="M103" i="47"/>
  <c r="C360" i="37"/>
  <c r="C361" i="37"/>
  <c r="A432" i="37"/>
  <c r="A428" i="37"/>
  <c r="A430" i="37"/>
  <c r="A434" i="37"/>
  <c r="A438" i="37"/>
  <c r="A436" i="37"/>
  <c r="A462" i="37"/>
  <c r="E91" i="41"/>
  <c r="A460" i="37" s="1"/>
  <c r="E45" i="41"/>
  <c r="E54" i="41"/>
  <c r="E41" i="41"/>
  <c r="E81" i="41"/>
  <c r="E82" i="41" s="1"/>
  <c r="G256" i="37"/>
  <c r="AV256" i="37"/>
  <c r="AV460" i="37"/>
  <c r="AV461" i="37"/>
  <c r="W257" i="37"/>
  <c r="X258" i="37"/>
  <c r="A258" i="37" s="1"/>
  <c r="L42" i="41"/>
  <c r="T42" i="41" s="1"/>
  <c r="L85" i="41"/>
  <c r="T85" i="41" s="1"/>
  <c r="L84" i="41"/>
  <c r="T84" i="41" s="1"/>
  <c r="L53" i="41"/>
  <c r="T53" i="41" s="1"/>
  <c r="L82" i="41"/>
  <c r="T82" i="41" s="1"/>
  <c r="L40" i="41"/>
  <c r="T40" i="41" s="1"/>
  <c r="L79" i="41"/>
  <c r="T79" i="41" s="1"/>
  <c r="L78" i="41"/>
  <c r="T78" i="41" s="1"/>
  <c r="M81" i="41"/>
  <c r="M41" i="41"/>
  <c r="M78" i="41"/>
  <c r="M79" i="41"/>
  <c r="M40" i="41"/>
  <c r="S19" i="34"/>
  <c r="S20" i="34" s="1"/>
  <c r="S21" i="34" s="1"/>
  <c r="R20" i="34"/>
  <c r="R21" i="34" s="1"/>
  <c r="N55" i="34"/>
  <c r="L55" i="34" s="1"/>
  <c r="O93" i="41" s="1"/>
  <c r="A309" i="37" l="1"/>
  <c r="A320" i="37"/>
  <c r="A300" i="37"/>
  <c r="A319" i="37"/>
  <c r="A304" i="37"/>
  <c r="A303" i="37"/>
  <c r="A316" i="37"/>
  <c r="A315" i="37"/>
  <c r="A301" i="37"/>
  <c r="A302" i="37"/>
  <c r="A318" i="37"/>
  <c r="A317" i="37"/>
  <c r="A299" i="37"/>
  <c r="A453" i="37"/>
  <c r="A451" i="37"/>
  <c r="A455" i="37"/>
  <c r="O73" i="41"/>
  <c r="O23" i="47"/>
  <c r="O11" i="47"/>
  <c r="O113" i="47"/>
  <c r="O24" i="47"/>
  <c r="O17" i="47"/>
  <c r="O13" i="47"/>
  <c r="O10" i="47"/>
  <c r="O115" i="47"/>
  <c r="O20" i="47"/>
  <c r="O16" i="47"/>
  <c r="O12" i="47"/>
  <c r="O21" i="47"/>
  <c r="O19" i="47"/>
  <c r="O15" i="47"/>
  <c r="O114" i="47"/>
  <c r="O84" i="47"/>
  <c r="O112" i="47"/>
  <c r="O22" i="47"/>
  <c r="O18" i="47"/>
  <c r="O14" i="47"/>
  <c r="A313" i="37"/>
  <c r="A329" i="37"/>
  <c r="A289" i="37"/>
  <c r="A325" i="37"/>
  <c r="A356" i="37"/>
  <c r="A322" i="37"/>
  <c r="A294" i="37"/>
  <c r="A350" i="37"/>
  <c r="A305" i="37"/>
  <c r="A332" i="37"/>
  <c r="A314" i="37"/>
  <c r="A335" i="37"/>
  <c r="A354" i="37"/>
  <c r="A355" i="37"/>
  <c r="A307" i="37"/>
  <c r="A323" i="37"/>
  <c r="A344" i="37"/>
  <c r="A293" i="37"/>
  <c r="A296" i="37"/>
  <c r="A306" i="37"/>
  <c r="A290" i="37"/>
  <c r="A345" i="37"/>
  <c r="A326" i="37"/>
  <c r="A336" i="37"/>
  <c r="A297" i="37"/>
  <c r="A348" i="37"/>
  <c r="A328" i="37"/>
  <c r="A327" i="37"/>
  <c r="A324" i="37"/>
  <c r="A347" i="37"/>
  <c r="A321" i="37"/>
  <c r="A461" i="37"/>
  <c r="A311" i="37"/>
  <c r="A351" i="37"/>
  <c r="A340" i="37"/>
  <c r="A298" i="37"/>
  <c r="A342" i="37"/>
  <c r="A352" i="37"/>
  <c r="A343" i="37"/>
  <c r="A339" i="37"/>
  <c r="A308" i="37"/>
  <c r="A331" i="37"/>
  <c r="A295" i="37"/>
  <c r="A292" i="37"/>
  <c r="A312" i="37"/>
  <c r="A338" i="37"/>
  <c r="A337" i="37"/>
  <c r="A330" i="37"/>
  <c r="A291" i="37"/>
  <c r="A310" i="37"/>
  <c r="A333" i="37"/>
  <c r="A349" i="37"/>
  <c r="A334" i="37"/>
  <c r="A346" i="37"/>
  <c r="A341" i="37"/>
  <c r="A353" i="37"/>
  <c r="A452" i="37"/>
  <c r="A454" i="37"/>
  <c r="A456" i="37"/>
  <c r="E78" i="41"/>
  <c r="E79" i="41" s="1"/>
  <c r="E80" i="41" s="1"/>
  <c r="E84" i="41"/>
  <c r="E85" i="41" s="1"/>
  <c r="E53" i="41"/>
  <c r="B39" i="46"/>
  <c r="A176" i="37"/>
  <c r="A185" i="37"/>
  <c r="A186" i="37"/>
  <c r="A178" i="37"/>
  <c r="A187" i="37"/>
  <c r="A188" i="37"/>
  <c r="A184" i="37"/>
  <c r="A189" i="37"/>
  <c r="A190" i="37"/>
  <c r="A175" i="37"/>
  <c r="A191" i="37"/>
  <c r="A192" i="37"/>
  <c r="A177" i="37"/>
  <c r="A193" i="37"/>
  <c r="A194" i="37"/>
  <c r="A179" i="37"/>
  <c r="A195" i="37"/>
  <c r="A181" i="37"/>
  <c r="A182" i="37"/>
  <c r="A174" i="37"/>
  <c r="A183" i="37"/>
  <c r="A180" i="37"/>
  <c r="M82" i="41"/>
  <c r="E42" i="41"/>
  <c r="E40" i="41"/>
  <c r="G257" i="37"/>
  <c r="AV257" i="37"/>
  <c r="C195" i="37"/>
  <c r="C191" i="37"/>
  <c r="C187" i="37"/>
  <c r="C183" i="37"/>
  <c r="C179" i="37"/>
  <c r="C175" i="37"/>
  <c r="C192" i="37"/>
  <c r="C180" i="37"/>
  <c r="C194" i="37"/>
  <c r="C190" i="37"/>
  <c r="C186" i="37"/>
  <c r="C182" i="37"/>
  <c r="C178" i="37"/>
  <c r="C174" i="37"/>
  <c r="C188" i="37"/>
  <c r="C176" i="37"/>
  <c r="C193" i="37"/>
  <c r="C189" i="37"/>
  <c r="C185" i="37"/>
  <c r="C181" i="37"/>
  <c r="C177" i="37"/>
  <c r="C184" i="37"/>
  <c r="W258" i="37"/>
  <c r="X259" i="37"/>
  <c r="A259" i="37" s="1"/>
  <c r="O89" i="41"/>
  <c r="O87" i="41"/>
  <c r="O23" i="41"/>
  <c r="O19" i="41"/>
  <c r="O15" i="41"/>
  <c r="O11" i="41"/>
  <c r="O88" i="41"/>
  <c r="O24" i="41"/>
  <c r="O20" i="41"/>
  <c r="O16" i="41"/>
  <c r="O12" i="41"/>
  <c r="O90" i="41"/>
  <c r="O21" i="41"/>
  <c r="O18" i="41"/>
  <c r="O10" i="41"/>
  <c r="O13" i="41"/>
  <c r="O22" i="41"/>
  <c r="O17" i="41"/>
  <c r="O14" i="41"/>
  <c r="M85" i="41"/>
  <c r="M84" i="41"/>
  <c r="M42" i="41"/>
  <c r="AV415" i="37"/>
  <c r="C433" i="37" l="1"/>
  <c r="C429" i="37"/>
  <c r="C435" i="37"/>
  <c r="C455" i="37"/>
  <c r="C447" i="37"/>
  <c r="C453" i="37"/>
  <c r="C449" i="37"/>
  <c r="C451" i="37"/>
  <c r="C445" i="37"/>
  <c r="C427" i="37"/>
  <c r="C437" i="37"/>
  <c r="C431" i="37"/>
  <c r="A447" i="37"/>
  <c r="A445" i="37"/>
  <c r="A449" i="37"/>
  <c r="C436" i="37"/>
  <c r="C430" i="37"/>
  <c r="C438" i="37"/>
  <c r="C434" i="37"/>
  <c r="C428" i="37"/>
  <c r="C432" i="37"/>
  <c r="E83" i="41"/>
  <c r="C452" i="37"/>
  <c r="C456" i="37"/>
  <c r="C450" i="37"/>
  <c r="C448" i="37"/>
  <c r="C454" i="37"/>
  <c r="C446" i="37"/>
  <c r="A450" i="37"/>
  <c r="A446" i="37"/>
  <c r="A448" i="37"/>
  <c r="C443" i="37"/>
  <c r="C441" i="37"/>
  <c r="C440" i="37"/>
  <c r="C444" i="37"/>
  <c r="C426" i="37"/>
  <c r="C423" i="37"/>
  <c r="C425" i="37"/>
  <c r="C422" i="37"/>
  <c r="C417" i="37"/>
  <c r="C416" i="37"/>
  <c r="C420" i="37"/>
  <c r="C419" i="37"/>
  <c r="A153" i="37"/>
  <c r="A169" i="37"/>
  <c r="A162" i="37"/>
  <c r="A159" i="37"/>
  <c r="A152" i="37"/>
  <c r="A168" i="37"/>
  <c r="A157" i="37"/>
  <c r="A151" i="37"/>
  <c r="A166" i="37"/>
  <c r="A163" i="37"/>
  <c r="A156" i="37"/>
  <c r="A172" i="37"/>
  <c r="A161" i="37"/>
  <c r="A154" i="37"/>
  <c r="A170" i="37"/>
  <c r="A167" i="37"/>
  <c r="A160" i="37"/>
  <c r="A165" i="37"/>
  <c r="A158" i="37"/>
  <c r="A155" i="37"/>
  <c r="A171" i="37"/>
  <c r="A164" i="37"/>
  <c r="B47" i="46"/>
  <c r="A202" i="37"/>
  <c r="A211" i="37"/>
  <c r="A208" i="37"/>
  <c r="A201" i="37"/>
  <c r="A217" i="37"/>
  <c r="A214" i="37"/>
  <c r="A199" i="37"/>
  <c r="A215" i="37"/>
  <c r="A212" i="37"/>
  <c r="A205" i="37"/>
  <c r="A198" i="37"/>
  <c r="A218" i="37"/>
  <c r="A203" i="37"/>
  <c r="A200" i="37"/>
  <c r="A216" i="37"/>
  <c r="A209" i="37"/>
  <c r="A206" i="37"/>
  <c r="A207" i="37"/>
  <c r="A204" i="37"/>
  <c r="A197" i="37"/>
  <c r="A213" i="37"/>
  <c r="A210" i="37"/>
  <c r="C489" i="37"/>
  <c r="C487" i="37"/>
  <c r="C483" i="37"/>
  <c r="C477" i="37"/>
  <c r="C484" i="37"/>
  <c r="C481" i="37"/>
  <c r="C479" i="37"/>
  <c r="C480" i="37"/>
  <c r="C476" i="37"/>
  <c r="C475" i="37"/>
  <c r="C488" i="37"/>
  <c r="C485" i="37"/>
  <c r="AV218" i="37"/>
  <c r="C211" i="37"/>
  <c r="C210" i="37"/>
  <c r="C209" i="37"/>
  <c r="C200" i="37"/>
  <c r="C217" i="37"/>
  <c r="C202" i="37"/>
  <c r="C203" i="37"/>
  <c r="C212" i="37"/>
  <c r="C218" i="37"/>
  <c r="C201" i="37"/>
  <c r="C197" i="37"/>
  <c r="C206" i="37"/>
  <c r="C205" i="37"/>
  <c r="C207" i="37"/>
  <c r="C213" i="37"/>
  <c r="C216" i="37"/>
  <c r="C198" i="37"/>
  <c r="C214" i="37"/>
  <c r="C199" i="37"/>
  <c r="C215" i="37"/>
  <c r="C204" i="37"/>
  <c r="C208" i="37"/>
  <c r="B31" i="46"/>
  <c r="B32" i="46" s="1"/>
  <c r="C491" i="37"/>
  <c r="C493" i="37"/>
  <c r="C492" i="37"/>
  <c r="G258" i="37"/>
  <c r="AV258" i="37"/>
  <c r="C490" i="37"/>
  <c r="C500" i="37"/>
  <c r="C415" i="37"/>
  <c r="C418" i="37"/>
  <c r="C424" i="37"/>
  <c r="C495" i="37"/>
  <c r="C501" i="37"/>
  <c r="C486" i="37"/>
  <c r="C473" i="37"/>
  <c r="C462" i="37"/>
  <c r="C463" i="37"/>
  <c r="C502" i="37"/>
  <c r="C439" i="37"/>
  <c r="C465" i="37"/>
  <c r="C466" i="37"/>
  <c r="C482" i="37"/>
  <c r="C421" i="37"/>
  <c r="C442" i="37"/>
  <c r="C499" i="37"/>
  <c r="C478" i="37"/>
  <c r="C503" i="37"/>
  <c r="C467" i="37"/>
  <c r="C474" i="37"/>
  <c r="C469" i="37"/>
  <c r="C496" i="37"/>
  <c r="C460" i="37"/>
  <c r="C468" i="37"/>
  <c r="C497" i="37"/>
  <c r="C461" i="37"/>
  <c r="C464" i="37"/>
  <c r="C504" i="37"/>
  <c r="C471" i="37"/>
  <c r="C458" i="37"/>
  <c r="C498" i="37"/>
  <c r="C472" i="37"/>
  <c r="C459" i="37"/>
  <c r="AV162" i="37"/>
  <c r="AV152" i="37"/>
  <c r="AV170" i="37"/>
  <c r="AV172" i="37"/>
  <c r="AV158" i="37"/>
  <c r="AV164" i="37"/>
  <c r="AV168" i="37"/>
  <c r="AV166" i="37"/>
  <c r="AV157" i="37"/>
  <c r="AV163" i="37"/>
  <c r="AV156" i="37"/>
  <c r="AV160" i="37"/>
  <c r="AV159" i="37"/>
  <c r="AV165" i="37"/>
  <c r="AV155" i="37"/>
  <c r="AV171" i="37"/>
  <c r="AV153" i="37"/>
  <c r="AV169" i="37"/>
  <c r="AV154" i="37"/>
  <c r="AV161" i="37"/>
  <c r="AV151" i="37"/>
  <c r="AV167" i="37"/>
  <c r="W259" i="37"/>
  <c r="X260" i="37"/>
  <c r="A260" i="37" s="1"/>
  <c r="AV193" i="37"/>
  <c r="AV189" i="37"/>
  <c r="AV185" i="37"/>
  <c r="AV181" i="37"/>
  <c r="AV177" i="37"/>
  <c r="AV192" i="37"/>
  <c r="AV188" i="37"/>
  <c r="AV184" i="37"/>
  <c r="AV180" i="37"/>
  <c r="AV176" i="37"/>
  <c r="AV195" i="37"/>
  <c r="AV191" i="37"/>
  <c r="AV187" i="37"/>
  <c r="AV183" i="37"/>
  <c r="AV179" i="37"/>
  <c r="AV175" i="37"/>
  <c r="AV194" i="37"/>
  <c r="AV190" i="37"/>
  <c r="AV186" i="37"/>
  <c r="AV182" i="37"/>
  <c r="AV178" i="37"/>
  <c r="AV174" i="37"/>
  <c r="AV214" i="37"/>
  <c r="AV210" i="37"/>
  <c r="AV206" i="37"/>
  <c r="AV202" i="37"/>
  <c r="AV198" i="37"/>
  <c r="AV217" i="37"/>
  <c r="AV213" i="37"/>
  <c r="AV209" i="37"/>
  <c r="AV205" i="37"/>
  <c r="AV201" i="37"/>
  <c r="AV197" i="37"/>
  <c r="AV216" i="37"/>
  <c r="AV212" i="37"/>
  <c r="AV208" i="37"/>
  <c r="AV204" i="37"/>
  <c r="AV200" i="37"/>
  <c r="AV215" i="37"/>
  <c r="AV211" i="37"/>
  <c r="AV207" i="37"/>
  <c r="AV203" i="37"/>
  <c r="AV199" i="37"/>
  <c r="B33" i="46" l="1"/>
  <c r="B34" i="46" s="1"/>
  <c r="B35" i="46" s="1"/>
  <c r="B36" i="46" s="1"/>
  <c r="B37" i="46" s="1"/>
  <c r="B38" i="46" s="1"/>
  <c r="B40" i="46"/>
  <c r="G259" i="37"/>
  <c r="AV259" i="37"/>
  <c r="W260" i="37"/>
  <c r="X261" i="37"/>
  <c r="A261" i="37" s="1"/>
  <c r="B41" i="46" l="1"/>
  <c r="B42" i="46" s="1"/>
  <c r="B43" i="46" s="1"/>
  <c r="B44" i="46" s="1"/>
  <c r="B45" i="46" s="1"/>
  <c r="B46" i="46" s="1"/>
  <c r="B48" i="46"/>
  <c r="G260" i="37"/>
  <c r="AV260" i="37"/>
  <c r="W261" i="37"/>
  <c r="X262" i="37"/>
  <c r="A262" i="37" s="1"/>
  <c r="B49" i="46" l="1"/>
  <c r="B50" i="46" s="1"/>
  <c r="B51" i="46" s="1"/>
  <c r="B52" i="46" s="1"/>
  <c r="B53" i="46" s="1"/>
  <c r="B54" i="46" s="1"/>
  <c r="G261" i="37"/>
  <c r="AV261" i="37"/>
  <c r="W262" i="37"/>
  <c r="X263" i="37"/>
  <c r="A263" i="37" s="1"/>
  <c r="G262" i="37" l="1"/>
  <c r="AV262" i="37"/>
  <c r="W263" i="37"/>
  <c r="X264" i="37"/>
  <c r="A264" i="37" s="1"/>
  <c r="G263" i="37" l="1"/>
  <c r="AV263" i="37"/>
  <c r="W264" i="37"/>
  <c r="X265" i="37"/>
  <c r="A265" i="37" s="1"/>
  <c r="G264" i="37" l="1"/>
  <c r="AV264" i="37"/>
  <c r="W265" i="37"/>
  <c r="X266" i="37"/>
  <c r="A266" i="37" s="1"/>
  <c r="G265" i="37" l="1"/>
  <c r="AV265" i="37"/>
  <c r="W266" i="37"/>
  <c r="X267" i="37"/>
  <c r="A267" i="37" s="1"/>
  <c r="G266" i="37" l="1"/>
  <c r="AV266" i="37"/>
  <c r="W267" i="37"/>
  <c r="X268" i="37"/>
  <c r="A268" i="37" s="1"/>
  <c r="G267" i="37" l="1"/>
  <c r="AV267" i="37"/>
  <c r="W268" i="37"/>
  <c r="X269" i="37"/>
  <c r="A269" i="37" s="1"/>
  <c r="G268" i="37" l="1"/>
  <c r="AV268" i="37"/>
  <c r="W269" i="37"/>
  <c r="X270" i="37"/>
  <c r="A270" i="37" s="1"/>
  <c r="G269" i="37" l="1"/>
  <c r="AV269" i="37"/>
  <c r="W270" i="37"/>
  <c r="X271" i="37"/>
  <c r="A271" i="37" s="1"/>
  <c r="G270" i="37" l="1"/>
  <c r="AV270" i="37"/>
  <c r="W271" i="37"/>
  <c r="X272" i="37"/>
  <c r="A272" i="37" s="1"/>
  <c r="G271" i="37" l="1"/>
  <c r="AV271" i="37"/>
  <c r="W272" i="37"/>
  <c r="X273" i="37"/>
  <c r="A273" i="37" s="1"/>
  <c r="G272" i="37" l="1"/>
  <c r="AV272" i="37"/>
  <c r="W273" i="37"/>
  <c r="X274" i="37"/>
  <c r="A274" i="37" s="1"/>
  <c r="G273" i="37" l="1"/>
  <c r="AV273" i="37"/>
  <c r="W274" i="37"/>
  <c r="X275" i="37"/>
  <c r="A275" i="37" s="1"/>
  <c r="G274" i="37" l="1"/>
  <c r="AV274" i="37"/>
  <c r="W275" i="37"/>
  <c r="X276" i="37"/>
  <c r="A276" i="37" s="1"/>
  <c r="G275" i="37" l="1"/>
  <c r="AV275" i="37"/>
  <c r="W276" i="37"/>
  <c r="X277" i="37"/>
  <c r="A277" i="37" s="1"/>
  <c r="G276" i="37" l="1"/>
  <c r="AV276" i="37"/>
  <c r="W277" i="37"/>
  <c r="X278" i="37"/>
  <c r="A278" i="37" s="1"/>
  <c r="G277" i="37" l="1"/>
  <c r="AV277" i="37"/>
  <c r="W278" i="37"/>
  <c r="X279" i="37"/>
  <c r="A279" i="37" s="1"/>
  <c r="G278" i="37" l="1"/>
  <c r="AV278" i="37"/>
  <c r="W279" i="37"/>
  <c r="X280" i="37"/>
  <c r="A280" i="37" s="1"/>
  <c r="G279" i="37" l="1"/>
  <c r="AV279" i="37"/>
  <c r="W280" i="37"/>
  <c r="X281" i="37"/>
  <c r="A281" i="37" s="1"/>
  <c r="G280" i="37" l="1"/>
  <c r="AV280" i="37"/>
  <c r="W281" i="37"/>
  <c r="X282" i="37"/>
  <c r="A282" i="37" s="1"/>
  <c r="G281" i="37" l="1"/>
  <c r="AV281" i="37"/>
  <c r="W282" i="37"/>
  <c r="X283" i="37"/>
  <c r="A283" i="37" s="1"/>
  <c r="G282" i="37" l="1"/>
  <c r="AV282" i="37"/>
  <c r="W283" i="37"/>
  <c r="X284" i="37"/>
  <c r="A284" i="37" s="1"/>
  <c r="G283" i="37" l="1"/>
  <c r="AV283" i="37"/>
  <c r="W284" i="37"/>
  <c r="X285" i="37"/>
  <c r="A285" i="37" s="1"/>
  <c r="G284" i="37" l="1"/>
  <c r="AV284" i="37"/>
  <c r="W285" i="37"/>
  <c r="X286" i="37"/>
  <c r="A286" i="37" s="1"/>
  <c r="G285" i="37" l="1"/>
  <c r="AV285" i="37"/>
  <c r="W286" i="37"/>
  <c r="X287" i="37"/>
  <c r="A287" i="37" s="1"/>
  <c r="G286" i="37" l="1"/>
  <c r="AV286" i="37"/>
  <c r="W287" i="37"/>
  <c r="G287" i="37" l="1"/>
  <c r="AV287" i="37"/>
  <c r="AV458" i="37"/>
  <c r="AV459" i="37"/>
  <c r="AV469" i="37"/>
  <c r="AV468" i="37"/>
  <c r="AV464" i="37"/>
  <c r="AV465" i="37"/>
  <c r="AV467" i="37"/>
  <c r="AV466" i="37"/>
  <c r="J82" i="41" l="1"/>
  <c r="K10" i="4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David Hughes</author>
  </authors>
  <commentList>
    <comment ref="B4" authorId="0" shapeId="0" xr:uid="{00000000-0006-0000-0300-000001000000}">
      <text>
        <r>
          <rPr>
            <b/>
            <sz val="9"/>
            <color indexed="81"/>
            <rFont val="Tahoma"/>
            <family val="2"/>
          </rPr>
          <t>Refer to Staking table for max elevation</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David Hughes</author>
  </authors>
  <commentList>
    <comment ref="E8" authorId="0" shapeId="0" xr:uid="{00000000-0006-0000-0400-000001000000}">
      <text>
        <r>
          <rPr>
            <b/>
            <sz val="9"/>
            <color indexed="10"/>
            <rFont val="Tahoma"/>
            <family val="2"/>
          </rPr>
          <t>ONLY SELECT THOSE CASES WITH "1"</t>
        </r>
        <r>
          <rPr>
            <sz val="9"/>
            <color indexed="81"/>
            <rFont val="Tahoma"/>
            <family val="2"/>
          </rPr>
          <t xml:space="preserve">
</t>
        </r>
      </text>
    </comment>
    <comment ref="F8" authorId="0" shapeId="0" xr:uid="{00000000-0006-0000-0400-000002000000}">
      <text>
        <r>
          <rPr>
            <b/>
            <sz val="9"/>
            <color indexed="81"/>
            <rFont val="Tahoma"/>
            <family val="2"/>
          </rPr>
          <t>Select only if Line crosses over the wind Region Boundary between W and A6/A7</t>
        </r>
      </text>
    </comment>
    <comment ref="G8" authorId="0" shapeId="0" xr:uid="{00000000-0006-0000-0400-000003000000}">
      <text>
        <r>
          <rPr>
            <b/>
            <sz val="9"/>
            <color indexed="81"/>
            <rFont val="Tahoma"/>
            <family val="2"/>
          </rPr>
          <t>Required for lines with more than one height boundary layer</t>
        </r>
      </text>
    </comment>
    <comment ref="H8" authorId="0" shapeId="0" xr:uid="{00000000-0006-0000-0400-000004000000}">
      <text>
        <r>
          <rPr>
            <b/>
            <sz val="9"/>
            <color indexed="81"/>
            <rFont val="Tahoma"/>
            <family val="2"/>
          </rPr>
          <t>Refer to TP. 12.01 Section 8</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David Hughes</author>
  </authors>
  <commentList>
    <comment ref="A2" authorId="0" shapeId="0" xr:uid="{00000000-0006-0000-0600-000001000000}">
      <text>
        <r>
          <rPr>
            <sz val="9"/>
            <color indexed="81"/>
            <rFont val="Tahoma"/>
            <family val="2"/>
          </rPr>
          <t xml:space="preserve">1, 2 = One / two wires / phases broken 
ALL = All the options available for the selection criteria
CM = Construction and Maintenance (default) loading case - actual to be modified to reflect actual works to be performed
CP = Concrete Poles (to TP.PL 01.15)
DC = Double Circuit structures
FC = Failure Containment (Security) cirteria
RP = These criteria identify those applicable to the selected Target reliability (Tab CONTROL)
SC = Single Circuit structures
SER = Serviceability load criteria
SP = Steel Poles (to TP.PL 02.20)
TWR = Lattice Steel Tower
VUL =  These criteria are applicable for Vulnerability analyses
</t>
        </r>
      </text>
    </comment>
    <comment ref="H2" authorId="0" shapeId="0" xr:uid="{00000000-0006-0000-0600-000002000000}">
      <text>
        <r>
          <rPr>
            <sz val="9"/>
            <color indexed="81"/>
            <rFont val="Tahoma"/>
            <family val="2"/>
          </rPr>
          <t xml:space="preserve">The load cases for RSL / Security conditions represent the "target" condition for all lines.  Select as applicable to reflect the agreed residual security target, i.e. 100Pa only on Strain structures only (select suspension structures in Tab Control, or delete as applicable); select the required number of broken phases / earthwire and combinations thereof.
RSL torsion cases for DC towers consider breakages in one circuit only
The following criteria do not directly address “double circuit - single circuit strung” conditions.  However, the load cases will work for these conditions.   
C&amp;M conditions are the default conditions; special attention to be made to address the site specific conditions. 
</t>
        </r>
      </text>
    </comment>
    <comment ref="B7" authorId="0" shapeId="0" xr:uid="{00000000-0006-0000-0600-000003000000}">
      <text>
        <r>
          <rPr>
            <b/>
            <sz val="9"/>
            <color indexed="81"/>
            <rFont val="Tahoma"/>
            <family val="2"/>
          </rPr>
          <t xml:space="preserve">ALL = Any structure type
TWR = Lattice tower only
SP = Steel Poles
XP = Steel pole + defln limits
CP = Concrete poles </t>
        </r>
        <r>
          <rPr>
            <sz val="9"/>
            <color indexed="81"/>
            <rFont val="Tahoma"/>
            <family val="2"/>
          </rPr>
          <t xml:space="preserve">
</t>
        </r>
      </text>
    </comment>
    <comment ref="D7" authorId="0" shapeId="0" xr:uid="{00000000-0006-0000-0600-000004000000}">
      <text>
        <r>
          <rPr>
            <b/>
            <sz val="9"/>
            <color indexed="81"/>
            <rFont val="Tahoma"/>
            <family val="2"/>
          </rPr>
          <t xml:space="preserve">VUL = Vulnerability RP = Reliability
FC =  Failure Containment
SER = Serviceability </t>
        </r>
      </text>
    </comment>
    <comment ref="X7" authorId="0" shapeId="0" xr:uid="{00000000-0006-0000-0600-000005000000}">
      <text>
        <r>
          <rPr>
            <sz val="9"/>
            <color indexed="81"/>
            <rFont val="Tahoma"/>
            <family val="2"/>
          </rPr>
          <t>IF CELL IS SHADED RED INDICATES WEATHER CASE NOT FOUND</t>
        </r>
        <r>
          <rPr>
            <sz val="9"/>
            <color indexed="81"/>
            <rFont val="Tahoma"/>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David Hughes</author>
  </authors>
  <commentList>
    <comment ref="G9" authorId="0" shapeId="0" xr:uid="{00000000-0006-0000-0200-000001000000}">
      <text>
        <r>
          <rPr>
            <sz val="9"/>
            <color indexed="81"/>
            <rFont val="Tahoma"/>
            <family val="2"/>
          </rPr>
          <t>VDC = Maximum tangental tension for Vibration Damage Control</t>
        </r>
      </text>
    </comment>
    <comment ref="H9" authorId="0" shapeId="0" xr:uid="{00000000-0006-0000-0200-000002000000}">
      <text>
        <r>
          <rPr>
            <sz val="9"/>
            <color indexed="81"/>
            <rFont val="Tahoma"/>
            <family val="2"/>
          </rPr>
          <t xml:space="preserve">Max tangental tension under any loading condition
</t>
        </r>
      </text>
    </comment>
    <comment ref="I9" authorId="0" shapeId="0" xr:uid="{00000000-0006-0000-0200-000003000000}">
      <text>
        <r>
          <rPr>
            <sz val="9"/>
            <color indexed="81"/>
            <rFont val="Tahoma"/>
            <family val="2"/>
          </rPr>
          <t>MOT = Maximum Operating temperature</t>
        </r>
      </text>
    </comment>
    <comment ref="J9" authorId="0" shapeId="0" xr:uid="{00000000-0006-0000-0200-000004000000}">
      <text>
        <r>
          <rPr>
            <b/>
            <sz val="9"/>
            <color indexed="81"/>
            <rFont val="Tahoma"/>
            <family val="2"/>
          </rPr>
          <t>The Filename is required for tab "Cables"</t>
        </r>
        <r>
          <rPr>
            <sz val="9"/>
            <color indexed="81"/>
            <rFont val="Tahoma"/>
            <family val="2"/>
          </rPr>
          <t xml:space="preserve">
</t>
        </r>
      </text>
    </comment>
    <comment ref="D22" authorId="0" shapeId="0" xr:uid="{00000000-0006-0000-0200-000005000000}">
      <text>
        <r>
          <rPr>
            <sz val="9"/>
            <color indexed="81"/>
            <rFont val="Tahoma"/>
            <family val="2"/>
          </rPr>
          <t xml:space="preserve">The heights available in the drop down list are defined in tab "Structure Groups"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David Hughes</author>
  </authors>
  <commentList>
    <comment ref="D53" authorId="0" shapeId="0" xr:uid="{00000000-0006-0000-0900-000001000000}">
      <text>
        <r>
          <rPr>
            <b/>
            <sz val="9"/>
            <color indexed="81"/>
            <rFont val="Tahoma"/>
            <family val="2"/>
          </rPr>
          <t>Was 5</t>
        </r>
      </text>
    </comment>
    <comment ref="F53" authorId="0" shapeId="0" xr:uid="{00000000-0006-0000-0900-000002000000}">
      <text>
        <r>
          <rPr>
            <b/>
            <sz val="9"/>
            <color indexed="81"/>
            <rFont val="Tahoma"/>
            <family val="2"/>
          </rPr>
          <t>Was 2</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David Hughes</author>
  </authors>
  <commentList>
    <comment ref="E8" authorId="0" shapeId="0" xr:uid="{6D38A355-8087-4833-A683-7A7B57D45223}">
      <text>
        <r>
          <rPr>
            <b/>
            <sz val="9"/>
            <color indexed="10"/>
            <rFont val="Tahoma"/>
            <family val="2"/>
          </rPr>
          <t>ONLY SELECT THOSE CASES WITH "1"</t>
        </r>
        <r>
          <rPr>
            <sz val="9"/>
            <color indexed="81"/>
            <rFont val="Tahoma"/>
            <family val="2"/>
          </rPr>
          <t xml:space="preserve">
</t>
        </r>
      </text>
    </comment>
    <comment ref="F8" authorId="0" shapeId="0" xr:uid="{86BF313F-D2A5-4CF3-9307-5663AD4975DB}">
      <text>
        <r>
          <rPr>
            <b/>
            <sz val="9"/>
            <color indexed="81"/>
            <rFont val="Tahoma"/>
            <family val="2"/>
          </rPr>
          <t>Select only if Line crosses over the wind Region Boundary between W and A6/A7</t>
        </r>
      </text>
    </comment>
    <comment ref="G8" authorId="0" shapeId="0" xr:uid="{18A5290D-EE20-48A4-A1AA-D0A19ACB95FB}">
      <text>
        <r>
          <rPr>
            <b/>
            <sz val="9"/>
            <color indexed="81"/>
            <rFont val="Tahoma"/>
            <family val="2"/>
          </rPr>
          <t>Required for lines with more than one height boundary layer</t>
        </r>
      </text>
    </comment>
    <comment ref="H8" authorId="0" shapeId="0" xr:uid="{3DDF1A79-1903-4C57-978A-61EB8B20D8EF}">
      <text>
        <r>
          <rPr>
            <b/>
            <sz val="9"/>
            <color indexed="81"/>
            <rFont val="Tahoma"/>
            <family val="2"/>
          </rPr>
          <t>Refer to TP. 12.01 Section 8</t>
        </r>
      </text>
    </comment>
  </commentList>
</comments>
</file>

<file path=xl/sharedStrings.xml><?xml version="1.0" encoding="utf-8"?>
<sst xmlns="http://schemas.openxmlformats.org/spreadsheetml/2006/main" count="10297" uniqueCount="1146">
  <si>
    <t>PLS-CADD Weather Case and Load Criteria Generator</t>
  </si>
  <si>
    <t>Rev</t>
  </si>
  <si>
    <t>Date</t>
  </si>
  <si>
    <t>Details</t>
  </si>
  <si>
    <t>Added capability for multiple height ranges - included Structure Groups</t>
  </si>
  <si>
    <t>Revised Load case selection tabs to identify if  the weather case "exists" (selected for input)</t>
  </si>
  <si>
    <t>Added Instructions to Tab "Control"</t>
  </si>
  <si>
    <t>Added "Revision" tab</t>
  </si>
  <si>
    <t>Structure Groups:  Added Groups to cater for Failure containment to be resisted by strain structures only
Load Case: Structure group lookup formula revised for failure containment cases (as above)</t>
  </si>
  <si>
    <t>Issued for internal review</t>
  </si>
  <si>
    <t xml:space="preserve">Weather Cases:  C&amp;M Snow &amp; Ice loading cases: Required column - formula revised to look at radial thickness only </t>
  </si>
  <si>
    <t>Weather Cases: Case MOT - revised Label to include temperature</t>
  </si>
  <si>
    <t>Weather Cases:  Added capability for input of 4 different conductor s and 4 different earthwires</t>
  </si>
  <si>
    <t>Red = Items to do</t>
  </si>
  <si>
    <t xml:space="preserve">Weather Cases:  Modified 12.01 height bands for ice and snow to be only in multiples of 100m </t>
  </si>
  <si>
    <t xml:space="preserve">Structure Groups:  Modified </t>
  </si>
  <si>
    <t>Conductors:  Added OPGW 70mm2 Hitachi; Added OPGW 174mm2 data; added 120mm2 Hitachi</t>
  </si>
  <si>
    <t>Moved Instructions to New Tab; added hyperlinks between tabs</t>
  </si>
  <si>
    <t>Modified allocation of Failure Containment load cases to structure group "Stop" requiring manual input in the staking table.  This enables both Vulnerability (all structures designated 'Stop') and Security analysis (only designated structures)</t>
  </si>
  <si>
    <t>Consider adding different levels of "stop", e.g. 
Stop = all specified FC 
StopL2, all conductor long with 2 cond bkn torsion
StopT1, One conductor torsion, etc.</t>
  </si>
  <si>
    <t>Modified Strength factor for Concrete poles so that only one value is specified (others need to be zero)</t>
  </si>
  <si>
    <t>General update following internal feedback</t>
  </si>
  <si>
    <t>-</t>
  </si>
  <si>
    <t>Additional update and revision following comments from M. Wilson</t>
  </si>
  <si>
    <t>A</t>
  </si>
  <si>
    <t>FIRST ISSUE for external feedback &amp; application</t>
  </si>
  <si>
    <t>B1</t>
  </si>
  <si>
    <t>Load Criteria - Modified weather cases for HWD and RSL Load criteria to include Wind Region and Height (as applicable)</t>
  </si>
  <si>
    <t>Weather Cases - Revised Case Selection columns with value "0" to "-" to be consistent and facilitate dropdown selection</t>
  </si>
  <si>
    <t>Staking Table - corrected Comments columns for wind on spans and structures to Columns 4 and 7 respectively  ( as per ADEGL.02.06)</t>
  </si>
  <si>
    <t>PLS-CADD Folders:  Added Hyperlinks to other spreadsheet tabs</t>
  </si>
  <si>
    <t>Control - Added "revision" to the Spreadsheet and Criteria Filenames</t>
  </si>
  <si>
    <t>B2</t>
  </si>
  <si>
    <t>Weather Cases:  Added EDD load case to differentiate between EDW (Loading based on ED temp) and EDD (clearances based on coincident temp)
Made EDD, HWD and MWD weather cases dependent on operating temperature (MOT with coincident wind) for each conductor type.</t>
  </si>
  <si>
    <t>Cables:  Changed Column A to display either 1 or "-" (rather than 0). Corrected Cell A39 to check A38.  Ditto for A40 through A53.</t>
  </si>
  <si>
    <r>
      <t>Load Criteria: Wind direction column U.  "</t>
    </r>
    <r>
      <rPr>
        <i/>
        <sz val="10"/>
        <color rgb="FF44546A"/>
        <rFont val="Arial"/>
        <family val="2"/>
      </rPr>
      <t xml:space="preserve">MAX" </t>
    </r>
    <r>
      <rPr>
        <sz val="10"/>
        <color rgb="FF44546A"/>
        <rFont val="Arial"/>
        <family val="2"/>
      </rPr>
      <t>changed to "</t>
    </r>
    <r>
      <rPr>
        <i/>
        <sz val="10"/>
        <color rgb="FF44546A"/>
        <rFont val="Arial"/>
        <family val="2"/>
      </rPr>
      <t>Max"</t>
    </r>
    <r>
      <rPr>
        <sz val="10"/>
        <color rgb="FF44546A"/>
        <rFont val="Arial"/>
        <family val="2"/>
      </rPr>
      <t>.</t>
    </r>
  </si>
  <si>
    <t>Load Criteria: Double &amp; Single circuit torsional snow / Ice cases.  Added sets with ahead / back spans at 70% (those not split 70%:40%)</t>
  </si>
  <si>
    <t>Load Criteria:  Cells AY233 through AY264 and AY288 through AY319, corrected ‘Ahead’ and ‘Back’ (were transposed).</t>
  </si>
  <si>
    <t>B3</t>
  </si>
  <si>
    <t>Weather Cases:  Modified Labels for TP.DL 12.02 Weather Cases to indicate the conductor operating temperature rather than the calculated wire temperature (to simplify lookup selection)</t>
  </si>
  <si>
    <t>B</t>
  </si>
  <si>
    <t>ISSUED for external feedback &amp; Project application</t>
  </si>
  <si>
    <t>C1</t>
  </si>
  <si>
    <t>Ref:  Generic wind speeds rounded to nearest 1m/s</t>
  </si>
  <si>
    <t>Structure Groups: Added Note that the Max Height is to be rounded up to the nearest 100m</t>
  </si>
  <si>
    <t>Ref:  Everyday temp Lookup table values corrected;  Cell M54 = 10; Cell O54 = 5</t>
  </si>
  <si>
    <t>C2</t>
  </si>
  <si>
    <t>Control:  Modified conditional formatting for Cell D24 to highlight "orange" when Ice Zone N1 selected for South Island</t>
  </si>
  <si>
    <t>Ref: Corrected the lookup altitude values for Ice and snow thicknesses</t>
  </si>
  <si>
    <r>
      <t xml:space="preserve">Instructions:    
Corrected "Generic wind pressures are presented in cells </t>
    </r>
    <r>
      <rPr>
        <b/>
        <sz val="10"/>
        <color rgb="FF3333FF"/>
        <rFont val="Tahoma"/>
        <family val="2"/>
      </rPr>
      <t>Z4</t>
    </r>
    <r>
      <rPr>
        <sz val="10"/>
        <color rgb="FF3333FF"/>
        <rFont val="Tahoma"/>
        <family val="2"/>
      </rPr>
      <t xml:space="preserve"> and </t>
    </r>
    <r>
      <rPr>
        <b/>
        <sz val="10"/>
        <color rgb="FF3333FF"/>
        <rFont val="Tahoma"/>
        <family val="2"/>
      </rPr>
      <t>AC4</t>
    </r>
    <r>
      <rPr>
        <sz val="10"/>
        <color rgb="FF3333FF"/>
        <rFont val="Tahoma"/>
        <family val="2"/>
      </rPr>
      <t xml:space="preserve">."
</t>
    </r>
    <r>
      <rPr>
        <sz val="10"/>
        <rFont val="Tahoma"/>
        <family val="2"/>
      </rPr>
      <t xml:space="preserve">Corrected Wind Speeds on Structures - Comment </t>
    </r>
    <r>
      <rPr>
        <b/>
        <sz val="10"/>
        <color rgb="FF0070C0"/>
        <rFont val="Tahoma"/>
        <family val="2"/>
      </rPr>
      <t>7</t>
    </r>
    <r>
      <rPr>
        <sz val="10"/>
        <rFont val="Tahoma"/>
        <family val="2"/>
      </rPr>
      <t xml:space="preserve">
Corrected Wind Speeds on Spans - Comment </t>
    </r>
    <r>
      <rPr>
        <b/>
        <sz val="10"/>
        <color rgb="FF0070C0"/>
        <rFont val="Tahoma"/>
        <family val="2"/>
      </rPr>
      <t>4</t>
    </r>
  </si>
  <si>
    <t>Staking Table - modified Max and Min elevations to give the rounded up and rounded down values to nearest 100m</t>
  </si>
  <si>
    <t>C</t>
  </si>
  <si>
    <t>D1</t>
  </si>
  <si>
    <r>
      <t>Weather Cases:  Introduced cases for structural deflection for Pole serviceability limits:  
NOTE WILL REQUIRE REVISION TO TP.DL 12.01.
HWD (Structural) 3yr RP with t</t>
    </r>
    <r>
      <rPr>
        <vertAlign val="subscript"/>
        <sz val="10"/>
        <rFont val="Arial"/>
        <family val="2"/>
      </rPr>
      <t>ed</t>
    </r>
    <r>
      <rPr>
        <sz val="10"/>
        <rFont val="Arial"/>
        <family val="2"/>
      </rPr>
      <t xml:space="preserve">
MWD (structural) 50yr RP with t</t>
    </r>
    <r>
      <rPr>
        <vertAlign val="subscript"/>
        <sz val="10"/>
        <rFont val="Arial"/>
        <family val="2"/>
      </rPr>
      <t>mw</t>
    </r>
  </si>
  <si>
    <t>Load Criteria:  Modified HWD and MWD load cases to identify the correct weather case and to extend to all conductor types</t>
  </si>
  <si>
    <t>Control: Deleted hidden values in Cells I10 - I12 (previously employed for test purposes); not critical</t>
  </si>
  <si>
    <t>Structure Groups; Weather Cases, etc.  
   Row 1:  Revised Lookup for Title Site Name-Section to remove the duplicate term "Section"</t>
  </si>
  <si>
    <t xml:space="preserve">Control:  Added input data entry to identify whether the type of pole structure (if applicable).  These are required for the generic serviceability load criteria (deflection, crack limit).  
Load Criteria:  Added note that the serviceability load cases for poles (SP, CP) are only required for generic design - they are not required for PLS-CADD models (the poles are designed to meet certain limits that are a function of the selected extreme load; if they survive the extreme load then they are deemed to survive the serviceability loading). </t>
  </si>
  <si>
    <t>D2</t>
  </si>
  <si>
    <t>Instructions: 
Added clarification for scope of spreadsheet:  "The spreadsheet assumes there will be only Towers and or poles within a CADD model.  It does not differentiate between different pole types.  The designer should recognise that Standard poles (wood, concrete, steel) are handled differently to towers and (special) steel poles in terms of ability to withstand RSL loading.  Structures that are required to withstand RSL shall be designated "STOP" structures in the staking table under "Manual  Structure  Group  Membership"   
Note 5.01:  "Load Case Applicable"?  Added clarification that the selected cases are applicable to PLS-CADD models only.  For generic design of new standard structures the designer is required to make allowance for TP Standard poles cracking and deflection limits</t>
  </si>
  <si>
    <t>D</t>
  </si>
  <si>
    <t>E1</t>
  </si>
  <si>
    <t xml:space="preserve">Control:  Introduced revision to "Pole" type definitions dependent on pole cracking or deflection limits as specified in their supply specifications (see new note 2.5 in tab Instructions) </t>
  </si>
  <si>
    <t xml:space="preserve">Instructions:  Added new note 2.5 to define the applicable supply standard for pole types </t>
  </si>
  <si>
    <t>Weather Cases: Added cases for High Wind Deflection (Structural) &amp; Maximum Wind deflection (Structural); 
Modified formula in column "Weather case reqd" to look for pole type rather than conductor (these cases only required for generic serviceability checks for standard steel and wood poles)</t>
  </si>
  <si>
    <t>Load Criteria:  Column A, "Load Case Applicable?" cells A69 to A140 corrected to =IF(Control!$D$4="Y","-",1)</t>
  </si>
  <si>
    <t>Load Criteria: Made "Strength factor for concrete pole" 1 for all Load Criteria; ditto wood poles</t>
  </si>
  <si>
    <t>Load Criteria:  Separated Replacement Criteria Load cases from Serviceability load cases (deflection &amp; cracking);  Made Replacement criteria cases applicable to all structure types.  Reorganised the Serviceability cases to make presentation more logical (separated Replacement cases)</t>
  </si>
  <si>
    <t>Load Criteria: Serviceability cases Changed Crack Factor to EDW = 0.4; HWD=0.65, MWD =0.  Removed values from all cases except nominated Pole Serviceability Load Criteria;  All others set to Zero (not checked)</t>
  </si>
  <si>
    <r>
      <t>Load Criteria:  Changed all "</t>
    </r>
    <r>
      <rPr>
        <i/>
        <sz val="10"/>
        <rFont val="Arial"/>
        <family val="2"/>
      </rPr>
      <t>Strength  Factor  Concrete  Poles  Zero Tension</t>
    </r>
    <r>
      <rPr>
        <sz val="10"/>
        <rFont val="Arial"/>
        <family val="2"/>
      </rPr>
      <t>" values to "0" (not checked)</t>
    </r>
  </si>
  <si>
    <t>E2</t>
  </si>
  <si>
    <t>Load Criteria:  RSL Ice Torsion Column AY rows 343 to 374 (Weather Case "RI"); Formulae changed to =IF($N343="","",$N343&amp;":1:"&amp;IF($L343="A","Ahead","Back")) [ the "Ahead" and "Back" were transposed]</t>
  </si>
  <si>
    <t>Load Criteria:  Revised the formulae in the PLS command columns for Differential TI, EI and ES Torsional load cases to correctly identify the "Affected" set-span for the 40% thickness; introduced columns P:T to identify Set-spans "Not affected" (70% thickness)</t>
  </si>
  <si>
    <t>Instructions:  Renumbered instructions from 4 onwards due to duplicate numbering</t>
  </si>
  <si>
    <t>Instructions:  Note 7 Load Criteria - added comments for the input columns for Phase-Set AFFECTED and NOT AFFECTED</t>
  </si>
  <si>
    <t>Instructions:  Modified Note 7.10 to require Project / Asset Spreadsheet revision control should employ the Tab "Revision"</t>
  </si>
  <si>
    <t>Instructions:  Key to Cell Shading:  Added definitions for Purple and Red cells</t>
  </si>
  <si>
    <t>Control:  Added space to permit addition of designers comments</t>
  </si>
  <si>
    <t>All Tabs: Revised Filter tabs to limit columns to those required for application 
All Tabs: Formatted to permit printing (if required to accompany DCD, etc.)</t>
  </si>
  <si>
    <t>Revised Spreadsheet Filename to PLS-CADD WC &amp; LC Generator Master</t>
  </si>
  <si>
    <t>E3</t>
  </si>
  <si>
    <t xml:space="preserve">Load Criteria: Load cases RW Longitudinal (Rows 211 &amp; 212) have not been repeated for NA- Winds.  2 new rows inserted at 213 for NA- Winds
Ditto for RS and RI Longitudinal Load cases </t>
  </si>
  <si>
    <t>Weather Cases: Security conditions, RW, RS and RI.  
a) Revised Case Descriptions to refer to input "SECURITY Level (for RSL loading)" in Control Tab (Control!$D$25) which identifies the wind pressure at the time of breakage (i.e. 1 = 100Pa; 2 = 200Pa, etc.)
b) Changed RW and RS to be height dependent cases (Column G) and replaced return period with "Security Level"</t>
  </si>
  <si>
    <t>Load Criteria: All Security Conditions RW, RS and RI.  Changed Return period to refer to selected Security Level</t>
  </si>
  <si>
    <t xml:space="preserve">Instructions:  Added new note 5.5 and Expanded Note 7.11 to explain that Vulnerability Analysis relating to Security Cases will require the Weather Cases and Load Criteria to be repeated for each selected security level to be included in the analysis </t>
  </si>
  <si>
    <t>E4</t>
  </si>
  <si>
    <t>Load Criteria:  Type of Analysis (Column D) Changed FC/VUL to FC only to permit case selection for different Security levels</t>
  </si>
  <si>
    <t>Instructions:  Modified Note 2.2 to clarify the default situation is for a single height “group” for all analyses.  The decision to proceed with more than 1 height group will be dependent on showing identified overloads can be mitigated by this method</t>
  </si>
  <si>
    <t>E</t>
  </si>
  <si>
    <t>ISSUED for Project application</t>
  </si>
  <si>
    <t>F1</t>
  </si>
  <si>
    <t>All Tabs (for printing as project records):  Added cell that identifies the spreadsheet filename and revision from which the WC and LC were generated</t>
  </si>
  <si>
    <t>Weather Cases:  Changed "Wire  Gust  Response  Factor" to "1" for all load cases (not TPNZ 2008) as PLS-CADD does not properly apply TSRF and SRF for all design checks.  Site specific wind speeds now required to cater for the effects of site-specific SRF (to be obtained from Transpower)</t>
  </si>
  <si>
    <t>Control:  For Generic Load Cases added input for "average Span length" and included Span Reduction Factor on derived wind speeds</t>
  </si>
  <si>
    <t>F</t>
  </si>
  <si>
    <t>G1</t>
  </si>
  <si>
    <t>Load Criteria:  Inserted new column (AS) for "Strength Factor Hardware"</t>
  </si>
  <si>
    <t xml:space="preserve">Load Criteria - Added explanation Comments to Select columns "Structure Type" and "Type of Analysis" </t>
  </si>
  <si>
    <t>Control: Added Conditional formatting to cells E37 &amp; E38 for Site Specific (hidden)</t>
  </si>
  <si>
    <t>G</t>
  </si>
  <si>
    <t>H1</t>
  </si>
  <si>
    <t>Control: Deleted Input Cell (row) C21 to remove reference to Central Plateau and references to 25km from coast (should be 5km throughout);  The requirement for ted &amp; tmw is not dependant on distance to coast; Tab: Ref corrected lookup to match</t>
  </si>
  <si>
    <r>
      <t xml:space="preserve">Load Criteria: Linked note for </t>
    </r>
    <r>
      <rPr>
        <i/>
        <sz val="10"/>
        <rFont val="Arial"/>
        <family val="2"/>
      </rPr>
      <t xml:space="preserve">Max wind angle interval </t>
    </r>
    <r>
      <rPr>
        <sz val="10"/>
        <rFont val="Arial"/>
        <family val="2"/>
      </rPr>
      <t>to Control Tab for "Vulnerability" = Y; Revised note 
Instructions: Added example where the default interval can be accessed</t>
    </r>
  </si>
  <si>
    <t>Instructions:  Added new Note 7.12 addressing the required wind direction interval for weather cases with wind dirn "MAX"</t>
  </si>
  <si>
    <t>Load Criteria: Concrete Pole serviceability strength factors modified as follows (only one check permitted for 1 load case):
EDW for 1st Crack = 0 (not checked); zero tension 0.4
HWD 1st Crack = 0.65; zero tension 0.0 (not checked)</t>
  </si>
  <si>
    <t>Control:  Added pop up note to "Failure Containment (FC) on all structures ?" to identify that if "No" is selected then those structures designated "STOP" structures need to be entered in the Staking table</t>
  </si>
  <si>
    <t>Structure Groups:  When "FC applied to all structures" is entered as "Yes" in tab:Control - remove "STOP" groups to avoid confusion</t>
  </si>
  <si>
    <t>Instructions:  Revised Note 7.05 to clarify how FC cases are to be applied and handled</t>
  </si>
  <si>
    <t>Control:  For criteria file add the selected Return Period in the Filename</t>
  </si>
  <si>
    <t>Control:  Added Revision control for Project specific versions of the master spreadsheet</t>
  </si>
  <si>
    <t>Staking Table:  Deleted 1 column data "Row Number"</t>
  </si>
  <si>
    <t>Load Criteria:  Added differential wind cases for CM1, CM2 and CM3; added note that all CM load cases are Generic and subject to project specific modification</t>
  </si>
  <si>
    <t xml:space="preserve">Load Criteria:  Added Differential snow &amp; ice cases for CM2 &amp; CM3 (note these are identical, i.e. CM2S = CM3S, etc.) </t>
  </si>
  <si>
    <t>Weather Cases:  added CM2S &amp; CM2I for extended periods with possibility of snow and ice</t>
  </si>
  <si>
    <t>Weather Cases: Added FTD (Falling Tree Deflection) wind case for TP.DL 12.02 clearance checks</t>
  </si>
  <si>
    <t>Ref: Modified density formula in cell U120 to give zero for ice thickness of zero
Added notes throughout the Tab that no data is to be modified</t>
  </si>
  <si>
    <t>Weather Cases: Wire Gust Response Factor. Added formula to give factor 1.2 for ice / snow cases with wind</t>
  </si>
  <si>
    <t>Instructions:  Updated notes (at end of instructions) for Terrain Category.  This requirement is now deleted as is not applicable for "site specific winds".  Deleted requirement for Ice drag factor in Loading code TPNZ</t>
  </si>
  <si>
    <t>H</t>
  </si>
  <si>
    <t>PENDING</t>
  </si>
  <si>
    <t>Load Criteria: Consider adding columns / tabs for specific PLS-CADD run types, e.g. Blowout reports, etc.</t>
  </si>
  <si>
    <t>Weather Cases: Consider additional cases for earthwires when used for external clearance checks (different conductor temperatures)</t>
  </si>
  <si>
    <t>Instructions: Add check list for all the PLS-CADD reports and checks that need to be tidied up to refer to the new load case names</t>
  </si>
  <si>
    <t>INSTRUCTIONS</t>
  </si>
  <si>
    <r>
      <t xml:space="preserve">This spreadsheet provides the </t>
    </r>
    <r>
      <rPr>
        <u/>
        <sz val="10"/>
        <rFont val="Calibri"/>
        <family val="2"/>
        <scheme val="minor"/>
      </rPr>
      <t>default</t>
    </r>
    <r>
      <rPr>
        <sz val="10"/>
        <rFont val="Calibri"/>
        <family val="2"/>
        <scheme val="minor"/>
      </rPr>
      <t xml:space="preserve"> weather case and loading criteria input for PLS-CADD Line models for evaluation of a </t>
    </r>
    <r>
      <rPr>
        <u/>
        <sz val="10"/>
        <rFont val="Calibri"/>
        <family val="2"/>
        <scheme val="minor"/>
      </rPr>
      <t>typical</t>
    </r>
    <r>
      <rPr>
        <sz val="10"/>
        <rFont val="Calibri"/>
        <family val="2"/>
        <scheme val="minor"/>
      </rPr>
      <t xml:space="preserve"> transmission line and its components in accordance with the principles of TP.DL 12.01 Loading Code.  
</t>
    </r>
    <r>
      <rPr>
        <sz val="10"/>
        <color rgb="FFFF0000"/>
        <rFont val="Calibri"/>
        <family val="2"/>
        <scheme val="minor"/>
      </rPr>
      <t>For lines containing any special structures (quad circuit, tee-offs, etc.) additional cases may be required which shall be developed employing the same principles and submitted for approval and inclusion into this Master Generator.</t>
    </r>
    <r>
      <rPr>
        <sz val="10"/>
        <rFont val="Calibri"/>
        <family val="2"/>
        <scheme val="minor"/>
      </rPr>
      <t xml:space="preserve">
The spreadsheet contains tabs standardising data labelling and input for: 
- PLS Folder identification
- Cable Tension Criteria (up to 4 conductors and earthwire types may be accommodated)
- Structure Groups required for the Loading 
- Weather Case and 
- Structure Load Criteria 
- Designation of RSL capable (Stop) structures
</t>
    </r>
  </si>
  <si>
    <r>
      <t xml:space="preserve">The weather and loads cases generated by this spreadsheet permits differentiation between the following variables along the line for:
a) AS/NZS 1170.2 Wind Regions </t>
    </r>
    <r>
      <rPr>
        <sz val="10"/>
        <color rgb="FFFF0000"/>
        <rFont val="Calibri"/>
        <family val="2"/>
        <scheme val="minor"/>
      </rPr>
      <t>(PRESENT VERSION DOES NOT CATER FOR TWO WIND ZONES FOR A SINGLE LINE SECTION)</t>
    </r>
    <r>
      <rPr>
        <sz val="10"/>
        <rFont val="Calibri"/>
        <family val="2"/>
        <scheme val="minor"/>
      </rPr>
      <t xml:space="preserve">
b) Different height zones for ice and snow loading
c) Different conductors and their ruling conditions </t>
    </r>
  </si>
  <si>
    <t>Wind Zone requires definition of limiting station in Structure Groups</t>
  </si>
  <si>
    <t>The spreadsheet assumes there will be only Towers and or poles within a CADD model.  It does not differentiate between different pole types.  The designer should recognise that Standard poles (wood, concrete, steel) are handled differently to towers and (special) steel poles in terms of ability to withstand RSL loading.  Structures that are required to withstand RSL shall be designated "STOP" structures in the staking table under "Manual  Structure  Group  Membership"</t>
  </si>
  <si>
    <t>Key to Cell shading</t>
  </si>
  <si>
    <t>Cells requiring user data input.
(some cells provide guidance by comments and or default drop down lists that restrict the allowable input)</t>
  </si>
  <si>
    <r>
      <t xml:space="preserve">Cells containing formulae  </t>
    </r>
    <r>
      <rPr>
        <sz val="10"/>
        <color rgb="FFFF0000"/>
        <rFont val="Calibri"/>
        <family val="2"/>
        <scheme val="minor"/>
      </rPr>
      <t>*do not overwrite*</t>
    </r>
    <r>
      <rPr>
        <sz val="10"/>
        <rFont val="Calibri"/>
        <family val="2"/>
        <scheme val="minor"/>
      </rPr>
      <t>.  Note, some formulae in Weather &amp; Load Case tabs are not suitable for copying through the sheet.  Additional cases should be input at the appropriate sheet row for correct labelling and data.</t>
    </r>
  </si>
  <si>
    <t>Cells containing default input data in the "inclusion" sense (may be modified to suit actual requirements; these dictate the case name, etc.)</t>
  </si>
  <si>
    <t>Cells containing default input data in the "exclusion" sense (may be modified to suit actual requirements; these dictate the case name, etc.)</t>
  </si>
  <si>
    <t>Cells with data to be transferred to PLS-CADD (all contain formulae / data - same as above); 
Also used as a warning of possible data error in Control Tab</t>
  </si>
  <si>
    <t>Data Error, or Data required</t>
  </si>
  <si>
    <t>Tabs Within this spreadsheet</t>
  </si>
  <si>
    <t xml:space="preserve">(This tab) Provides instructions and guidelines for the use of this design tool
</t>
  </si>
  <si>
    <t>STAKING TABLE</t>
  </si>
  <si>
    <t xml:space="preserve">The PLS-CADD structure data;  Provides ability to extract the ground elevation data and input generic and site specific reference wind speeds.  Also used to define which structures are to be designated "Stop" structures to which residual static loading is to be applied. </t>
  </si>
  <si>
    <t>CONTROL INPUT</t>
  </si>
  <si>
    <t xml:space="preserve">Master data for the spreadsheet; Defines conductors and earthwires and their operating conditions together with details of the site locations, heights, wind regions, etc.  </t>
  </si>
  <si>
    <t>STRUCTURE GROUPS</t>
  </si>
  <si>
    <t xml:space="preserve">Provide the master structure groups and their naming for the PLS-CADD Model
Requires definition of the ground level height bands to be applied along the line route </t>
  </si>
  <si>
    <t>WEATHER CASES</t>
  </si>
  <si>
    <t>Provides the Master Weather cases to be applied to the Line Model;  Cases are selected depending on the type of analysis, i.e. vulnerability analysis and or final reliability /security design.  Also provides the default weather cases for Safety (C&amp;M) and Serviceability loading.  
The weather cases are dependant on the selected wind regions and height bands along the line route and will require multiple usage if more than one region / band is selected</t>
  </si>
  <si>
    <t>CABLES</t>
  </si>
  <si>
    <t>Facilitates the data entry necessary for the "Criteria / Cable Tensions"; requires Cable filenames to be entered in Tab "Control".</t>
  </si>
  <si>
    <t>LOAD CRITERIA</t>
  </si>
  <si>
    <t xml:space="preserve">Provides the Master Loading Criteria to be applied to the Line Model employing standard case naming;  
Permits selection as required for vulnerability analysis and or final reliability /security design.  Also provides the default weather cases for Safety (C&amp;M) and Serviceability loading.  
The weather cases are dependant on the selected wind regions and height bands </t>
  </si>
  <si>
    <t>PLS-CADD</t>
  </si>
  <si>
    <t xml:space="preserve">"Tools" for auto-naming file directory data entry into PLS-CADD.  </t>
  </si>
  <si>
    <t xml:space="preserve">Hidden Tabs </t>
  </si>
  <si>
    <t xml:space="preserve">"Ref"  Provides the reference lookup data obtained from AS/NZS 1170.2 and TP.DL 12.01 </t>
  </si>
  <si>
    <t>"Conductor-Properties" The default lookup data for Transpower standard conductors, earthwires and OPGW</t>
  </si>
  <si>
    <t>PROCEDURE</t>
  </si>
  <si>
    <t>Preliminaries</t>
  </si>
  <si>
    <t>Determine the number of line PLS-CADD Models required:</t>
  </si>
  <si>
    <t>The optimum solution is for the complete line to be contained within one PLS-CADD Model.  To assist the following criteria shall be employed for determining whether or not a line shall be split:</t>
  </si>
  <si>
    <t xml:space="preserve">The length and complexity of the line.  Some lines are too long and result in PLS-CADD models of a size that restricts its functionality and or usability.  In these cases the line shall be split.  Typically models shall be restricted to approximately 200 structures (discuss with Transpower) </t>
  </si>
  <si>
    <t xml:space="preserve">The global terrain category (TC).  Typically the model shall adopt a Global TC that best represents the sites / span specific TC value as derived in accordance with ADEGL.02.11.  If there are significant differences along the line or cost benefits for adopting different TC along the line, consideration shall be given to splitting the line route. </t>
  </si>
  <si>
    <t xml:space="preserve">The AS/NZS 1170.2 Wind Regions traversed.  If the line crosses the boundary between "W" and "A6/A7" then weather cases will be required for both regions and the structure groups will need to be restricted to a station along the line.  </t>
  </si>
  <si>
    <t>This feature has not yet been automated (contact Transpower if required)</t>
  </si>
  <si>
    <t xml:space="preserve">Ground elevations:  Determine the ranges of ground elevations traversed and whether or not more than one height group is required. 
Copy the PLS-CADD Staking table to tab "Staking Table".  This provides the maximum and minimum ground elevations along the line route.  
Typically all models shall adopt a single height derived from the maximum ground line elevation (this is the default for vulnerability analyses).  A single height band shall be adopted initially for reliability analyses. However, for some lines, adopting a single height can result in some structures being subject to ice loads and temperatures that are more critical than that required by TP.DL 12.01 with resulting structure overloads.  If deemed appropriate multiple height bands may be utilised to better represent the conditions along the line route.  This decision will be based on cost-benefit analyses.
Tab "Structure Groups" permits these height bands to be pre-selected (after an engineering analysis of the line route).  The default interval is derived based on three equal splits between zero and the maximum height (from the staking table).  The bands may be manually adjusted.  </t>
  </si>
  <si>
    <r>
      <t xml:space="preserve">NOTE:  PLS-CADD limits the number of weather cases to 100.  The default number of TP.DL 12.01 weather cases required for each wind region / height band is dependent on the analysis type; 
for </t>
    </r>
    <r>
      <rPr>
        <u/>
        <sz val="10"/>
        <rFont val="Calibri"/>
        <family val="2"/>
        <scheme val="minor"/>
      </rPr>
      <t xml:space="preserve">Vulnerability analysis </t>
    </r>
    <r>
      <rPr>
        <sz val="10"/>
        <rFont val="Calibri"/>
        <family val="2"/>
        <scheme val="minor"/>
      </rPr>
      <t xml:space="preserve">40 cases are required for the base condition plus another 30 for another wind region and 34 for each height band.  Consequently only one height band is recommended for Vulnerability analysis.
For </t>
    </r>
    <r>
      <rPr>
        <u/>
        <sz val="10"/>
        <rFont val="Calibri"/>
        <family val="2"/>
        <scheme val="minor"/>
      </rPr>
      <t>Reliability analysis</t>
    </r>
    <r>
      <rPr>
        <sz val="10"/>
        <rFont val="Calibri"/>
        <family val="2"/>
        <scheme val="minor"/>
      </rPr>
      <t xml:space="preserve"> 37 cases are required for the base condition (this includes all default serviceability and safety cases) plus another 5 for another wind region and 27 for each height band.  Therefore, with two wind regions the maximum number of height bands will be 2; for one wind region the max number of height bands will be 3.
The number of Structure Load Criteria is limited to 1000.  The default number of load cases is approx. 300 plus another 90 for another wind region.  An additional 170 cases are required for each height band / wind region. Therefore the maximum number of height bands will be approx. 2 for lines with 2 wind regions and 4 for lines with one wind region (the actual number will be dependent on the line configuration and structure complexity).  
With the above program limits the maximum number of height bands will be taken as 3 irrespective of the number of wind regions.</t>
    </r>
  </si>
  <si>
    <t xml:space="preserve">The number of conductor and or earthwire types along the line - this only defines the weather cases and cable tension criteria necessary for VDC and the weather criteria for MOT.  This also populates the Tab "Cables" which provides the required input for PLS-CADD Criteria \ Cables (tension limits)
</t>
  </si>
  <si>
    <t>Tab "Control"</t>
  </si>
  <si>
    <t>Enter the relevant data for the line section for which the Weather cases and Load Criteria are required</t>
  </si>
  <si>
    <t xml:space="preserve">Ground elevations:  Determine the maximum ground elevations traversed.  Copy the PLS-CADD Staking table to tab "Staking Table".  This provides the maximum and minimum ground elevations along the line route.  
Determine and whether or not more than one height "group" is required.  The default is for a single height group for all analyses.  The decision to proceed with more than 1 height group will be dependent on identifying whether overloads can be mitigated by this method.  
For some lines, adopting a single height group can result in structures being subject to ice loads and temperatures that are more critical than that required by TP.DL 12.01 with resulting structure overloads.  If deemed appropriate multiple height groups may be utilised to better represent the conditions along the line route.  
Tab "Structure Groups" permits these height bands to be pre-selected (after an engineering analysis of the line route).  The default interval is derived based on three equal splits between zero and the maximum height (from the staking table).  The bands may be manually adjusted.  </t>
  </si>
  <si>
    <t>The number of conductor and or earthwire types along the line - this only defines the weather cases and cable tension criteria necessary for VDC and the weather criteria for MOT.  This also populates the Tab "Cables" which provides the required input for PLS-CADD Criteria \ Cables (tension limits)</t>
  </si>
  <si>
    <t xml:space="preserve">Whether or not the model is to be analysed for Vulnerability or for predetermined reliability &amp; security levels.  For Vulnerability analyses only one zone (the most extreme) need be considered for the complete line unless the line is found to be overly sensitive.
NOTE:  Vulnerability Load Criteria are provided to permit Vulnerability analyses in accordance with the principles of TP.DL 12.01 Section 6.4 Reliability Analyses, with the objective to determining the risk of failure vs the cost of achieving the target reliability
</t>
  </si>
  <si>
    <t xml:space="preserve">Identify which Serviceability limits are required, i.e.  whether or not deflection or cracking limits are applicable.  Note for a mixture of pole types it may be necessary to introduce different Load Criteria to cater for the different limits as PLS only considers whether or not a structure is modelled as a POLE or a TOWER.    
The following default conditions are assumed:
a) "WP" identifies Standard Wood poles supplied to TP.PL 01.11 (no deflection or cracking limits) 
b) "SP" identifies a Standard prestressed reinforced concrete pole supplied to TP.PL 01.15 (with cracking and deflection limits) or a Standard steel pole supplied to TP.PL 01.20 with deflection limits to TP.PL 01.15 (same as concrete); these poles are typically to employed at 110kV and below.
c) "XP" identifies a Steel Pole supplied to TP.PL 01.20 (with deflection limits).  These poles are typically employed for 220kV but are also employed for special poles.
</t>
  </si>
  <si>
    <t>Tab "Structure Groups": Default ground elevation ranges</t>
  </si>
  <si>
    <t>This tab establishes the default Structure Groups to be adopted for the model.   
There are two default structure groups; "All" and "PLS-Pole" 
The other groups are dependent on the selected number of height bands for the line.  The spreadsheet defaults to the maximum ground level determined from the Staking Table (rounded up to the next 100m).  
Enter how many height bands are required, 1,2 or 3
If the height bands are required to be fine-tuned to better reflect the line profile enter the required values in the green shaded cells.  
The Yellow cells are for any special structure groups required
Remove blank rows and copy to PLS-CADD</t>
  </si>
  <si>
    <t xml:space="preserve">Tab "Control" </t>
  </si>
  <si>
    <t>Enter:</t>
  </si>
  <si>
    <t xml:space="preserve">The Line / Model site identification </t>
  </si>
  <si>
    <t>Details of the conductors and earthwires applicable to the line model (permits up to 4 conductors and 45 earthwires)</t>
  </si>
  <si>
    <t>Enter the applicable line route location data relating to the selected line section</t>
  </si>
  <si>
    <t>For Generic Loading additional data is required for default terrain category and average heights of structures and conductors</t>
  </si>
  <si>
    <t xml:space="preserve">Print tab to record the Selection </t>
  </si>
  <si>
    <t xml:space="preserve">Tab "Weather Cases" </t>
  </si>
  <si>
    <t>This tab provides all the default weather cases applicable to the site location data entered in tab "Control".  No additional input is required</t>
  </si>
  <si>
    <t xml:space="preserve">in columns "Case selection" select the following: </t>
  </si>
  <si>
    <t>"Weather case reqd [Select 1]"  This identifies whether the Weather case is:
      a) Required, or
      b) Loaded (e.g. an Ice load case with zero ice thickness is deselected) 
Select only those Weather cases with "1"</t>
  </si>
  <si>
    <t>"Wind Region Dependent [Select A or W]":  This column identifies whether the Weather Case is wind region dependent.  If the line traverses more than one wind region select those cases with "A" or "W" (the region is set in Tab "Control" under "Wind Zone").  For each wind region repeat the weather case selection</t>
  </si>
  <si>
    <t>"Height Dependent Case [Select H]":  This identifies those weather cases that are height dependent.  The selected height band is set in Tab "Control" under "Max GROUND LEVEL Altitude along line section".  
For each height band repeat the weather case selection</t>
  </si>
  <si>
    <t>For each combination of Wind region and Height Band repeat step 4.1, 4.2 and 4.3
Copy / add Weather Case data to PLS-CADD</t>
  </si>
  <si>
    <t>For Vulnerability analyses that require different SECURITY levels to be included in the analysis the RW, RS and RI Weather Criteria and Load Criteria have to be repeated and input into CADD for each SECURITY level.  Recommend inset new rows for each selected Security Level</t>
  </si>
  <si>
    <t>Tab "Cables"</t>
  </si>
  <si>
    <t>This tab provides the data to be copied into PLS-CADD Criteria / Cables</t>
  </si>
  <si>
    <t>Employ the drop down list to select 
a) Applicable Cables cases.  
b) Repeat for the height dependent conditions (selecting the appropriate conductor / earthwire as applicable)
Note the cable *.wir filename must exactly correspond to that given in Tab Control and be filed in the correct default directory (see Tab "pls-cadd folders" for default directory naming)</t>
  </si>
  <si>
    <t>Tab "Load Criteria"</t>
  </si>
  <si>
    <t xml:space="preserve">No user input is required for default structure types.  However, for special or non-standard structures the load cases may be modified by use of the "Control columns - Input".  These provide the default variables for TP.DL 12.01 Load case naming.  </t>
  </si>
  <si>
    <t xml:space="preserve">For example, for Failure containment RSL loading cases the set numbers may be revised to suit special set naming as maybe required.  </t>
  </si>
  <si>
    <t xml:space="preserve">The usage and Key nomenclature employed are presented as comments in Cell A2 (Key nomenclature) and Cell H2 (usage notes)  </t>
  </si>
  <si>
    <t xml:space="preserve">For non-standard (default) load criteria employ columns I to V to modify the load criteria as applicable; these also affect the Load Criteria label etc.  </t>
  </si>
  <si>
    <t>In column "SELECTION CRITERIA (Filter to suit)" select those load criteria require based on the following selection criteria:</t>
  </si>
  <si>
    <r>
      <t xml:space="preserve">"Load Case Applicable"?  
This identifies applicable default load cases, i.e. checks to see if the weather case is selected and loaded (select criteria with 1 only); if the weather case is not loaded 
Note:  These load criteria are applicable to PLS-CADD models only;  They are not applicable for generic design of new standard structures, for example:  
</t>
    </r>
    <r>
      <rPr>
        <u/>
        <sz val="10"/>
        <rFont val="Calibri"/>
        <family val="2"/>
        <scheme val="minor"/>
      </rPr>
      <t>Standard Poles</t>
    </r>
    <r>
      <rPr>
        <sz val="10"/>
        <rFont val="Calibri"/>
        <family val="2"/>
        <scheme val="minor"/>
      </rPr>
      <t xml:space="preserve"> (steel and concrete) are required to meet deflection limits (TP.DL 12.01 Clause 7.7.2); these load cases are provided in rows 406 to 428;  The default is that these cases are excluded.  
</t>
    </r>
    <r>
      <rPr>
        <u/>
        <sz val="10"/>
        <rFont val="Calibri"/>
        <family val="2"/>
        <scheme val="minor"/>
      </rPr>
      <t>Double circuit Steel Towers</t>
    </r>
    <r>
      <rPr>
        <sz val="10"/>
        <rFont val="Calibri"/>
        <family val="2"/>
        <scheme val="minor"/>
      </rPr>
      <t xml:space="preserve"> (and steel poles) are required to be designed for single circuit erected - these are not covered by the present spreadsheet and the load cases will have to be developed by the designer.  </t>
    </r>
  </si>
  <si>
    <t xml:space="preserve">"Structure Type"; Some load cases are specific to structure type; select as applicable, i.e.
ALL = Any structure type
TWR = Lattice tower only
SP = Steel Poles
CP = Concrete poles 
</t>
  </si>
  <si>
    <t xml:space="preserve">"Structure Configuration": 
Some cases are dependent on the number of circuits carried by the structure.  The spreadsheet caters for one (SC) or two circuits (DC).  Some cases are common to both (SC/DC).  For structures with more than 2 circuits special loads cases will need to be generated.  
</t>
  </si>
  <si>
    <t xml:space="preserve">"Type of Analysis":  
To minimise the number of load criteria required select either those necessary for:
Vulnerability (VUL) analysis or Reliability analysis (RP).  
In addition it is possible to further select for 
Failure Containment (FC)
Serviceability (SER)
</t>
  </si>
  <si>
    <t xml:space="preserve">"Number of Broken wires / Phases":  Under the "FC" load criteria there are a number of options that are applicable to the structure types.  Typically structure families were designed for the same number of broken earthwires and or conductors.  Notwithstanding the Transpower default is to adopt the broken conditions as specified in TP.DL 12.01 clause 6.2.3.  After determining the required level of Security loading cases employ the dropdown list to select the appropriate load criteria employing:
ALL = Full longitudinal cascade
1, 2 = 1 or two phases / earthwire broken at the same time
</t>
  </si>
  <si>
    <t xml:space="preserve">"Earthwires":  
If the line has, anywhere along its length, one earthwire (EW7) or two earthwires (EW&amp; &amp; EW8) select as applicable.  </t>
  </si>
  <si>
    <t xml:space="preserve">"Wind Region Dependent"
Identifies those load criteria that are dependent on weather cases that are wind region dependent.
Select as appropriate (input under "Wind Region" in Tab "Control")
</t>
  </si>
  <si>
    <t xml:space="preserve">"Height Dependent"?
Identifies those load criteria that are dependent on weather cases that are height dependent.
Select as appropriate (input under "Max GROUND LEVEL Altitude along line section" in Tab "Control").  
</t>
  </si>
  <si>
    <t xml:space="preserve">For the selected load criteria in 5.1 to 5.8 copy / paste Load criteria data to PLS-CADD 
Repeat steps 5.7 and 5.8 for applicable wind and height bands
</t>
  </si>
  <si>
    <r>
      <t xml:space="preserve">Save PLS-CADD Criteria File employing the filename given in Tab "Control"
Note the Asset Specific spreadsheet is also to be saved with the Line Model
</t>
    </r>
    <r>
      <rPr>
        <b/>
        <u/>
        <sz val="10"/>
        <color rgb="FFFF0000"/>
        <rFont val="Calibri"/>
        <family val="2"/>
        <scheme val="minor"/>
      </rPr>
      <t xml:space="preserve">EMPLOY THE TAB "REVISION" FOR PROJECT / ASSET SPREADSHEET REVISION CONTROL - EMPLOY NUMBERS RATHER THAN LETTERS
</t>
    </r>
  </si>
  <si>
    <t xml:space="preserve">Repeat for each type of Analysis; 
Note For Vulnerability Analyses that require more than one security level to be analysed the Load Criteria for Security Criteria RW, RS and RI have to be repeated for each selected Security Level
</t>
  </si>
  <si>
    <r>
      <t>For Vulnerability analyses the user is required to manually adjust the wind interval for weather cases that employ a wind Direction "MAX".  PLS-CADD defaults to a 1</t>
    </r>
    <r>
      <rPr>
        <sz val="10"/>
        <rFont val="Calibri"/>
        <family val="2"/>
      </rPr>
      <t xml:space="preserve">° interval which result is very long run times.  10° or 15° provides acceptable results.  </t>
    </r>
  </si>
  <si>
    <t xml:space="preserve">
</t>
  </si>
  <si>
    <t>Tab "Staking Table"</t>
  </si>
  <si>
    <t xml:space="preserve">This tab permits the data from existing CADD models to be extracted, analysed to develop "Structure Groups".  
The wind speeds to be adopted for the analysis are also to be entered in the staking table (irrespective whether Generic or WAsP site specific).  
Generic wind pressures are presented in Cells Z4 and AC4.  </t>
  </si>
  <si>
    <t>The preferred default is for the following Comment fields: to be selected  under
"Criteria \ Code Specific Wind and Terrain Parameters \ Span Specific Wind &amp; Ice Adjustments"</t>
  </si>
  <si>
    <t>Wind Speeds on Structures - Comment 7</t>
  </si>
  <si>
    <t>Wind Speeds on Spans - Comment 4</t>
  </si>
  <si>
    <t>Tab " pls-cadd folders"</t>
  </si>
  <si>
    <t xml:space="preserve">This Tab provides a simplified method by which the folders of an existing PLS-CADD line model can be modified to follow the default CAD folders as required by Transpower standards. </t>
  </si>
  <si>
    <t>REFERENCES</t>
  </si>
  <si>
    <t>TP.DL 12.01 Issue 4 Transmission Line Loading Code</t>
  </si>
  <si>
    <t>Concrete Pole crack limits TP.DL 12.01 Table 13</t>
  </si>
  <si>
    <t>Concrete Poles deflection limits TP.PL 01.15 Clause 2.1.2.5</t>
  </si>
  <si>
    <t>Steel Pole deflection limits TP.PL 02.20 Table 3</t>
  </si>
  <si>
    <t>NOTES:</t>
  </si>
  <si>
    <t>Drag Factors</t>
  </si>
  <si>
    <t>All Load cases assume the applicable structure wind-on-structure wind drag factor is input within the applicable structure model i.e. for TOWER models (Section) or POLE models (Pole Properties).  If stick models are employed the PLS-CADD output will not address wind-on-structure effects.  These will have to be "added" together with the applicable Drag factor (see TP.DL 12.01 Clause 7.4.3 and 7.4.4)</t>
  </si>
  <si>
    <t>Live Line Working</t>
  </si>
  <si>
    <t>Live Line Working Load Criteria are required to be based on the applicable MOT load case together with the required point loads to be applied to the conductor.  These need to be applied on a project / procedure specific basis by manual input (Sections\Cables &amp; Concentrated Load Files\Create New Concentrated Load File)</t>
  </si>
  <si>
    <t>Terrain Category</t>
  </si>
  <si>
    <t xml:space="preserve">This is not applicable as TP adopt Loading Code of "None" or "Apply Span specific wind / ice" only.  
</t>
  </si>
  <si>
    <t>Rev H</t>
  </si>
  <si>
    <t>CRF and Safety Factors</t>
  </si>
  <si>
    <t xml:space="preserve">None of the load cases have been allocated capacity reduction factors; this is to ensure the user clearly recognises they are always dealing with actual (ultimate) loads and actual (ultimate) capacities.  In all cases the user shall  be responsible to ensure the required CRF is available for the loading condition (see TP.DL 12.01 Tables 2 and 3).  
Special attention is required for Construction &amp; Maintenance cases to ensure a maximum CRF of 0.5 is achieved. </t>
  </si>
  <si>
    <t>C&amp;M Loading</t>
  </si>
  <si>
    <t>For lines that traverse between Wind Regions W and A6/A7 it will be necessary to include additional weather and load cases.  These are selected by adopting the wind region drop down selection (1).  To ensure the load cases are applied correctly the Structure Groups will have to be modified to identify the applicable line section range</t>
  </si>
  <si>
    <t>ALS Sag Matching</t>
  </si>
  <si>
    <t>Some existing PLS Models have weather cases entered for the ALS sag matching purposes.  These weather cases are not required and may be deleted.  The "as-surveyed" temperatures are available in the Section Table in the Sag Temp column.  The weather cases are only required for display purposes.  The Sag Temperatures column can be copied to the "Display Weather Case" column as the weather case may be simply described as the wire temperature.</t>
  </si>
  <si>
    <t>CONTROL</t>
  </si>
  <si>
    <t>PLS-CADD STRUCTURE GROUPS</t>
  </si>
  <si>
    <t>These are the structure groups to be included; Grey indicates the CADD default group "All";</t>
  </si>
  <si>
    <r>
      <t xml:space="preserve">Max height (from Staking Table); </t>
    </r>
    <r>
      <rPr>
        <b/>
        <u/>
        <sz val="11"/>
        <rFont val="Arial"/>
        <family val="2"/>
      </rPr>
      <t>ROUND UP</t>
    </r>
    <r>
      <rPr>
        <sz val="11"/>
        <rFont val="Arial"/>
        <family val="2"/>
      </rPr>
      <t xml:space="preserve"> to nearest 100m</t>
    </r>
  </si>
  <si>
    <t xml:space="preserve"> the others are line specific but may be included as defaults</t>
  </si>
  <si>
    <t>Enter number of height intervals (max 3)</t>
  </si>
  <si>
    <t>IF REQUIRED THE HEIGHT BANDS MAY BE ADJUSTED MANUALLY</t>
  </si>
  <si>
    <t>Filter to remove blank rows and copy orange columns to PLS-CADD</t>
  </si>
  <si>
    <t>Height Bands</t>
  </si>
  <si>
    <t xml:space="preserve"> PLS-CADD INPUT [CRITERIA \ STRUCTURE LOADS (METHODS 3, 4)… \ STRUCTURE GROUPS ]</t>
  </si>
  <si>
    <t>Min</t>
  </si>
  <si>
    <t>Max</t>
  </si>
  <si>
    <t>Group  Name</t>
  </si>
  <si>
    <t>Group  Description</t>
  </si>
  <si>
    <t>Rule For Group Membership</t>
  </si>
  <si>
    <t>PURPOSE</t>
  </si>
  <si>
    <t>All</t>
  </si>
  <si>
    <t>Built in group that all structures belong to</t>
  </si>
  <si>
    <t>Automatic: all structures</t>
  </si>
  <si>
    <t>Default - Automatic - all structures</t>
  </si>
  <si>
    <t>DEFAULT</t>
  </si>
  <si>
    <t>PLS-POLE</t>
  </si>
  <si>
    <t>PLS-POLE created structure</t>
  </si>
  <si>
    <t>Automatic: PLS-POLE created</t>
  </si>
  <si>
    <t>TP for pole serviceability cases</t>
  </si>
  <si>
    <t>Note - data entry based on elevation input</t>
  </si>
  <si>
    <t>Stop</t>
  </si>
  <si>
    <t>Designated Stop Structure</t>
  </si>
  <si>
    <t>Manually assigned by user</t>
  </si>
  <si>
    <t>For Failure containiment cases restricted to "stop" structures</t>
  </si>
  <si>
    <t>Line specific - as required</t>
  </si>
  <si>
    <t>PLS-CADD WEATHER CASES</t>
  </si>
  <si>
    <t>FOLLOWING WEATHER CASES APPLICABLE TO SITES WITH GROUND ELEVATIONS &lt;</t>
  </si>
  <si>
    <t>m</t>
  </si>
  <si>
    <t>1) Select Weather Case "1" (checks to see if the case is "loaded") - These also include the default weather cases for Safety, Serviceability, etc.</t>
  </si>
  <si>
    <t>2) Cases with "1" are those that are Lines with more than one wind region.  Select "W" (=Wind) after resetting previous columns</t>
  </si>
  <si>
    <t>3) "Repeat" Cases for  Lines with more than one height range.  Select "H" (=Height) after resetting previous columns</t>
  </si>
  <si>
    <t>CONTROL COLUMNS</t>
  </si>
  <si>
    <t>CASE SELECTION</t>
  </si>
  <si>
    <t>PLS-CADD  DATA INPUT [Criteria \ Weather ]</t>
  </si>
  <si>
    <t>WEATHER CASE</t>
  </si>
  <si>
    <t>Weather Case ID</t>
  </si>
  <si>
    <t>Weather Case Return Period (Years)</t>
  </si>
  <si>
    <t>Coincident Wind Return Period (years)</t>
  </si>
  <si>
    <t>Weather case 
reqd [Select 1]</t>
  </si>
  <si>
    <t>Wind Region 
[Select A, W]</t>
  </si>
  <si>
    <t>Height Dependent 
Case [Select H]</t>
  </si>
  <si>
    <t>Description</t>
  </si>
  <si>
    <t>Air  Density  Factor  (Q) (kg/m^3)  (Pa/(m/s)^2)</t>
  </si>
  <si>
    <t>Wind  Velocity     (m/s)</t>
  </si>
  <si>
    <t>Wind  Pressure     (Pa)</t>
  </si>
  <si>
    <t>Wire  Ice  Thickness   (cm)</t>
  </si>
  <si>
    <t>Wire  Ice  Density   (N/m^3)</t>
  </si>
  <si>
    <t>Wire  Ice  Load   (N/m)</t>
  </si>
  <si>
    <t>Wire  Temp.      (deg C)</t>
  </si>
  <si>
    <t>Ambient  Temp.      (deg C)</t>
  </si>
  <si>
    <t>Weather  Load  Factor</t>
  </si>
  <si>
    <t>NESC  Constant     (N/m)</t>
  </si>
  <si>
    <t>Wire  Wind  Height  Adjust  Model</t>
  </si>
  <si>
    <t>Wire  Gust  Response  Factor</t>
  </si>
  <si>
    <t>Notes</t>
  </si>
  <si>
    <t>RELIABILITY CONDITIONS</t>
  </si>
  <si>
    <t>Maximum Wind conditions</t>
  </si>
  <si>
    <t>MW</t>
  </si>
  <si>
    <t/>
  </si>
  <si>
    <t>Apply Span Specific Wind &amp; Ice Adj.</t>
  </si>
  <si>
    <r>
      <t>t</t>
    </r>
    <r>
      <rPr>
        <vertAlign val="subscript"/>
        <sz val="10"/>
        <rFont val="Calibri"/>
        <family val="2"/>
        <scheme val="minor"/>
      </rPr>
      <t>mw</t>
    </r>
  </si>
  <si>
    <t>Applicable to Normal &amp; Differential loading</t>
  </si>
  <si>
    <t>10 year no replacement</t>
  </si>
  <si>
    <t>6 year prioritise</t>
  </si>
  <si>
    <t>Orange Tag</t>
  </si>
  <si>
    <t>Red Tag</t>
  </si>
  <si>
    <t>Minimum Temperature with wind</t>
  </si>
  <si>
    <t>MT</t>
  </si>
  <si>
    <r>
      <t>t</t>
    </r>
    <r>
      <rPr>
        <vertAlign val="subscript"/>
        <sz val="10"/>
        <rFont val="Calibri"/>
        <family val="2"/>
        <scheme val="minor"/>
      </rPr>
      <t>min</t>
    </r>
  </si>
  <si>
    <t>Equivalent to 10 year no replacement</t>
  </si>
  <si>
    <t>Equivalent to 6 year prioritise</t>
  </si>
  <si>
    <t>Equivalent to  Orange Tag</t>
  </si>
  <si>
    <t>Equivalent to  Red Tag</t>
  </si>
  <si>
    <t>Extreme Snow</t>
  </si>
  <si>
    <t>ES</t>
  </si>
  <si>
    <t>None</t>
  </si>
  <si>
    <r>
      <t>t</t>
    </r>
    <r>
      <rPr>
        <vertAlign val="subscript"/>
        <sz val="10"/>
        <rFont val="Calibri"/>
        <family val="2"/>
        <scheme val="minor"/>
      </rPr>
      <t>snow</t>
    </r>
  </si>
  <si>
    <t>Thin Ice with wind</t>
  </si>
  <si>
    <t>TI</t>
  </si>
  <si>
    <r>
      <t>t</t>
    </r>
    <r>
      <rPr>
        <vertAlign val="subscript"/>
        <sz val="10"/>
        <rFont val="Calibri"/>
        <family val="2"/>
        <scheme val="minor"/>
      </rPr>
      <t>ice</t>
    </r>
  </si>
  <si>
    <t>Extreme (thick) ice</t>
  </si>
  <si>
    <t>EI</t>
  </si>
  <si>
    <t>SECURITY CONDITIONS</t>
  </si>
  <si>
    <t>Security Level</t>
  </si>
  <si>
    <t>Cascade &amp; RSL Wind</t>
  </si>
  <si>
    <t>RW</t>
  </si>
  <si>
    <r>
      <t>t</t>
    </r>
    <r>
      <rPr>
        <vertAlign val="subscript"/>
        <sz val="10"/>
        <rFont val="Calibri"/>
        <family val="2"/>
        <scheme val="minor"/>
      </rPr>
      <t>ed</t>
    </r>
  </si>
  <si>
    <t>Applicable to Cascade and Torsional loading</t>
  </si>
  <si>
    <t>Cascade &amp; RSL Snow</t>
  </si>
  <si>
    <t>RS</t>
  </si>
  <si>
    <t>Cascade &amp; RSL Thick Ice</t>
  </si>
  <si>
    <t>RI</t>
  </si>
  <si>
    <t>SAFETY LOADING</t>
  </si>
  <si>
    <t>Default C&amp;M</t>
  </si>
  <si>
    <t>CM1</t>
  </si>
  <si>
    <r>
      <t>t</t>
    </r>
    <r>
      <rPr>
        <vertAlign val="subscript"/>
        <sz val="10"/>
        <rFont val="Calibri"/>
        <family val="2"/>
        <scheme val="minor"/>
      </rPr>
      <t>cm</t>
    </r>
  </si>
  <si>
    <t>Extended C&amp;M Works (Summer)</t>
  </si>
  <si>
    <t>CM2</t>
  </si>
  <si>
    <t>Extended C&amp;M Works (with snow)</t>
  </si>
  <si>
    <t>CM2S</t>
  </si>
  <si>
    <t>New - to cover non-summer months; if required</t>
  </si>
  <si>
    <t>Extended C&amp;M Works (with Ice)</t>
  </si>
  <si>
    <t>CM2I</t>
  </si>
  <si>
    <t>Delayed Strengthening (Summer)</t>
  </si>
  <si>
    <t>CM3</t>
  </si>
  <si>
    <t>Delayed Strengthening (Snow)</t>
  </si>
  <si>
    <t>CM3S</t>
  </si>
  <si>
    <t>New - to cover non-summer months</t>
  </si>
  <si>
    <t>Delayed Strengthening (Ice)</t>
  </si>
  <si>
    <t>CM3I</t>
  </si>
  <si>
    <t>SERVICEABILITY CONDITIONS</t>
  </si>
  <si>
    <t>%CBL or temp</t>
  </si>
  <si>
    <t>Vibration Damage Control</t>
  </si>
  <si>
    <t>VDC</t>
  </si>
  <si>
    <t>Everyday still air</t>
  </si>
  <si>
    <t>EDS</t>
  </si>
  <si>
    <t>Everyday Wind (Structural)</t>
  </si>
  <si>
    <t>EDW</t>
  </si>
  <si>
    <t>Falling Tree Deflection TP.SS 02.18</t>
  </si>
  <si>
    <t>FTD</t>
  </si>
  <si>
    <r>
      <t>t</t>
    </r>
    <r>
      <rPr>
        <vertAlign val="subscript"/>
        <sz val="10"/>
        <rFont val="Calibri"/>
        <family val="2"/>
        <scheme val="minor"/>
      </rPr>
      <t>edd</t>
    </r>
  </si>
  <si>
    <t xml:space="preserve">New </t>
  </si>
  <si>
    <t>Maximum Operating Temperature Condr  1</t>
  </si>
  <si>
    <t>MOT</t>
  </si>
  <si>
    <r>
      <t>t</t>
    </r>
    <r>
      <rPr>
        <vertAlign val="subscript"/>
        <sz val="10"/>
        <rFont val="Calibri"/>
        <family val="2"/>
        <scheme val="minor"/>
      </rPr>
      <t>max</t>
    </r>
  </si>
  <si>
    <t>Maximum Operating Temperature Condr  2</t>
  </si>
  <si>
    <t>Maximum Operating Temperature Condr  3</t>
  </si>
  <si>
    <t>Maximum Operating Temperature Condr  4</t>
  </si>
  <si>
    <t>Everyday wind deflection Condr 1</t>
  </si>
  <si>
    <t>EDD</t>
  </si>
  <si>
    <t>Everyday wind deflection Condr 2</t>
  </si>
  <si>
    <t>Everyday wind deflection Condr 3</t>
  </si>
  <si>
    <t>Everyday wind deflection Condr 4</t>
  </si>
  <si>
    <t>High Wind Deflection (Structural)</t>
  </si>
  <si>
    <t>HWD</t>
  </si>
  <si>
    <t>High Wind Deflection Condr 1</t>
  </si>
  <si>
    <r>
      <t>t</t>
    </r>
    <r>
      <rPr>
        <vertAlign val="subscript"/>
        <sz val="10"/>
        <rFont val="Calibri"/>
        <family val="2"/>
        <scheme val="minor"/>
      </rPr>
      <t>hwd</t>
    </r>
  </si>
  <si>
    <t>High Wind Deflection Condr 2</t>
  </si>
  <si>
    <t>High Wind Deflection Condr 3</t>
  </si>
  <si>
    <t>High Wind Deflection Condr 4</t>
  </si>
  <si>
    <t>Maximum Wind deflection (Structural)</t>
  </si>
  <si>
    <t>MWD</t>
  </si>
  <si>
    <t>Maximum Wind deflection Condr 1</t>
  </si>
  <si>
    <r>
      <t>t</t>
    </r>
    <r>
      <rPr>
        <vertAlign val="subscript"/>
        <sz val="10"/>
        <rFont val="Calibri"/>
        <family val="2"/>
        <scheme val="minor"/>
      </rPr>
      <t>mwd</t>
    </r>
  </si>
  <si>
    <t>Maximum Wind deflection Condr 2</t>
  </si>
  <si>
    <t>Maximum Wind deflection Condr 3</t>
  </si>
  <si>
    <t>Maximum Wind deflection Condr 4</t>
  </si>
  <si>
    <t>Snow Deflection – Still air</t>
  </si>
  <si>
    <t>SDS</t>
  </si>
  <si>
    <r>
      <t>Snow Deflection – Wind 50%P</t>
    </r>
    <r>
      <rPr>
        <vertAlign val="subscript"/>
        <sz val="10"/>
        <rFont val="Calibri"/>
        <family val="2"/>
        <scheme val="minor"/>
      </rPr>
      <t>des</t>
    </r>
  </si>
  <si>
    <t>SDD</t>
  </si>
  <si>
    <t>Snow Deflection – No snow</t>
  </si>
  <si>
    <t>SDO</t>
  </si>
  <si>
    <t>Thin Ice – Still air</t>
  </si>
  <si>
    <t>TIS</t>
  </si>
  <si>
    <t>Thin Ice Deflection – 50%Pdes</t>
  </si>
  <si>
    <t>TID</t>
  </si>
  <si>
    <t>Thin (and thick) Ice – No Ice</t>
  </si>
  <si>
    <t>TIO</t>
  </si>
  <si>
    <t>Extreme (thick) Ice – Still Air</t>
  </si>
  <si>
    <t>EIS</t>
  </si>
  <si>
    <t>Extreme (thick) Ice Deflection – 50%Pdes</t>
  </si>
  <si>
    <t>EID</t>
  </si>
  <si>
    <t>Minimum Temp Still air</t>
  </si>
  <si>
    <t>MTS</t>
  </si>
  <si>
    <t>Support replace criteria 10 year for wind</t>
  </si>
  <si>
    <t>RCW</t>
  </si>
  <si>
    <t>CA criteria wind 6 year</t>
  </si>
  <si>
    <t>CA6</t>
  </si>
  <si>
    <t>CA criteria Wind Orange Tag</t>
  </si>
  <si>
    <t>CA1</t>
  </si>
  <si>
    <t>CA criteria Wind Red Tag</t>
  </si>
  <si>
    <t>CA0</t>
  </si>
  <si>
    <t>Support Replacement criteria snow</t>
  </si>
  <si>
    <t>RCS</t>
  </si>
  <si>
    <t>Support Replacement criteria ice</t>
  </si>
  <si>
    <t>RCI</t>
  </si>
  <si>
    <t>SPECIAL  (if required)</t>
  </si>
  <si>
    <t>Seismic / Earthquake</t>
  </si>
  <si>
    <t>EQ</t>
  </si>
  <si>
    <t>Criteria / Cable Tensions</t>
  </si>
  <si>
    <t>Cable *.wir file must be saved in directory</t>
  </si>
  <si>
    <t>This tab does not require any input - mereley select the appropriate rows and copy to PLS-CADD</t>
  </si>
  <si>
    <t>FIRST 
Case Applicable ? [Select 1]</t>
  </si>
  <si>
    <t>SECOND
Height Dependent?</t>
  </si>
  <si>
    <t>Weather Case</t>
  </si>
  <si>
    <t>Cable  Condition</t>
  </si>
  <si>
    <t>% of  Ultimate</t>
  </si>
  <si>
    <t>Maximum  Tension (N)</t>
  </si>
  <si>
    <t>Maximum  Catenary (m)</t>
  </si>
  <si>
    <t>Applicable Cable  (blank=all cables)</t>
  </si>
  <si>
    <t>Creep FE</t>
  </si>
  <si>
    <t>PLS-CADD STRUCTURE LOAD CRITERIA</t>
  </si>
  <si>
    <t>KEY FOR SELECTION CRITERIA</t>
  </si>
  <si>
    <t>NOTES</t>
  </si>
  <si>
    <t>Failure Containment on all structures?</t>
  </si>
  <si>
    <t>[Data input]</t>
  </si>
  <si>
    <t>The control columns adopt TP.DL 12.01 Weather &amp; Load Case naming procedure</t>
  </si>
  <si>
    <t xml:space="preserve">MAX GROUND ALTITUDE FOR SELECTED LINE SECTION </t>
  </si>
  <si>
    <t>Note Input truncated (COLUMNS NOT REQUIRED FOR DEFAULT LOAD CRITERIA)</t>
  </si>
  <si>
    <t>&lt; Do not delete</t>
  </si>
  <si>
    <t xml:space="preserve">These are the default definitions for the loading cases </t>
  </si>
  <si>
    <t>SELECTION CRITERIA (Filter to suit)</t>
  </si>
  <si>
    <t>CONTROL COLUMNS - INPUT</t>
  </si>
  <si>
    <t xml:space="preserve"> PLS-CADD INPUT - COPY AND PASTE TO [CRITERIA \ STRUCTURE LOADS (METHODS 3, 4…)]</t>
  </si>
  <si>
    <t>Not Used by generator</t>
  </si>
  <si>
    <t>Load Case Applicable?</t>
  </si>
  <si>
    <t>Structure Type</t>
  </si>
  <si>
    <t>Structure 
Configuration</t>
  </si>
  <si>
    <t>Type of Analysis</t>
  </si>
  <si>
    <t>Number of Broken wires / Phases</t>
  </si>
  <si>
    <t>Earthwires</t>
  </si>
  <si>
    <t>Wind Region 
Dependent</t>
  </si>
  <si>
    <t>Height Dependent?</t>
  </si>
  <si>
    <t>Controlling 
Weather Case</t>
  </si>
  <si>
    <t>Return Period</t>
  </si>
  <si>
    <t>Code 1</t>
  </si>
  <si>
    <t>Code 2</t>
  </si>
  <si>
    <t>Sets Affected #1</t>
  </si>
  <si>
    <t>Sets Affected #2</t>
  </si>
  <si>
    <t>Sets Affected #3</t>
  </si>
  <si>
    <t>Set NOT AFFECTED #1</t>
  </si>
  <si>
    <t>Set NOT AFFECTED #2</t>
  </si>
  <si>
    <t>Set NOT AFFECTED #3</t>
  </si>
  <si>
    <t>Set NOT AFFECTED #4</t>
  </si>
  <si>
    <t>Set NOT AFFECTED #5</t>
  </si>
  <si>
    <t>Wind Dirn</t>
  </si>
  <si>
    <t>Wind Angle</t>
  </si>
  <si>
    <t>Weather case</t>
  </si>
  <si>
    <t>Cable  condition</t>
  </si>
  <si>
    <t>Wind  Direction</t>
  </si>
  <si>
    <t>Bisector  Wind Dir (deg)</t>
  </si>
  <si>
    <t>Wire  Vert.  Load  Factor</t>
  </si>
  <si>
    <t>Wire  and  Struct.  Wind  Load  Factor</t>
  </si>
  <si>
    <t>Wire  Tension  Load  Factor</t>
  </si>
  <si>
    <t>Struct.   Weight  Load  Factor</t>
  </si>
  <si>
    <t>Struct.   Wind  Area  Factor</t>
  </si>
  <si>
    <t>Struct.   Wind  Load  Model</t>
  </si>
  <si>
    <t>Struct.   Ice  Thickness (cm)</t>
  </si>
  <si>
    <t>Struct.   Ice  Density (N/m^3)</t>
  </si>
  <si>
    <t>Strength  Factor  Steel  Poles  Tubular-  Arms  Towers</t>
  </si>
  <si>
    <t>Strength  Factor  Wood  Poles</t>
  </si>
  <si>
    <t>Strength  Factor  Concrete  Poles  Ultimate</t>
  </si>
  <si>
    <t>Strength  Factor  Concrete  Poles  First  Crack</t>
  </si>
  <si>
    <t>Strength  Factor  Concrete  Poles  Zero  Tension</t>
  </si>
  <si>
    <t>Strength  Factor  Guys</t>
  </si>
  <si>
    <t>Strength  Factor  Non-  Tubular  Arms</t>
  </si>
  <si>
    <t>Strength  Factor  Braces</t>
  </si>
  <si>
    <t>Strength  Factor  Insulators</t>
  </si>
  <si>
    <t>Strength  Factor  Hardware</t>
  </si>
  <si>
    <t>Strength  Factor  Foundation</t>
  </si>
  <si>
    <t>Structure  Groups  On Which  To Apply</t>
  </si>
  <si>
    <t>Pole  Tip  Deflection  Check  (PLS-POLE  only)</t>
  </si>
  <si>
    <t>Pole  Tip  Deflect.  Limit  %  or (m)</t>
  </si>
  <si>
    <t>Adjust  Cable  Loads</t>
  </si>
  <si>
    <t>#1  Wire(s)    Set  Phase  Span</t>
  </si>
  <si>
    <t>#1  Command</t>
  </si>
  <si>
    <t>#1  Value  (%)  (# subcond.)  (N) (deg)</t>
  </si>
  <si>
    <t>#2  Wire(s)    Set  Phase  Span</t>
  </si>
  <si>
    <t>#2  Command</t>
  </si>
  <si>
    <t>#2  Value  (%)  (# subcond.)  (N) (deg)</t>
  </si>
  <si>
    <t>#3  Wire(s)    Set  Phase  Span</t>
  </si>
  <si>
    <t>#3  Command</t>
  </si>
  <si>
    <t>#3  Value  (%)  (# subcond.)  (N) (deg)</t>
  </si>
  <si>
    <t>#4  Wire(s)    Set  Phase  Span</t>
  </si>
  <si>
    <t>#4  Command</t>
  </si>
  <si>
    <t>#4  Value  (%)  (# subcond.)  (N) (deg)</t>
  </si>
  <si>
    <t>#5  Wire(s)    Set  Phase  Span</t>
  </si>
  <si>
    <t>#5  Command</t>
  </si>
  <si>
    <t>#5  Value  (%)  (# subcond.)  (N) (deg)</t>
  </si>
  <si>
    <t>#6  Wire(s)    Set  Phase  Span</t>
  </si>
  <si>
    <t>#6  Command</t>
  </si>
  <si>
    <t>#6  Value  (%)  (# subcond.)  (N) (deg)</t>
  </si>
  <si>
    <t>#7  Wire(s)    Set  Phase  Span</t>
  </si>
  <si>
    <t>#7  Command</t>
  </si>
  <si>
    <t>#7  Value  (%)  (# subcond.)  (N) (deg)</t>
  </si>
  <si>
    <t>#8  Wire(s)    Set  Phase  Span</t>
  </si>
  <si>
    <t>#8  Command</t>
  </si>
  <si>
    <t>#8  Value  (%)  (# subcond.)  (N) (deg)</t>
  </si>
  <si>
    <t>#9  Wire(s)    Set  Phase  Span</t>
  </si>
  <si>
    <t>#9  Command</t>
  </si>
  <si>
    <t>#9  Value  (%)  (# subcond.)  (N) (deg)</t>
  </si>
  <si>
    <t>#10  Wire(s)    Set  Phase  Span</t>
  </si>
  <si>
    <t>#10  Command</t>
  </si>
  <si>
    <t>#10  Value  (%)  (# subcond.)  (N) (deg)</t>
  </si>
  <si>
    <t>#11  Wire(s)    Set  Phase  Span</t>
  </si>
  <si>
    <t>#11  Command</t>
  </si>
  <si>
    <t>#11  Value  (%)  (# subcond.)  (N) (deg)</t>
  </si>
  <si>
    <t>#12  Wire(s)    Set  Phase  Span</t>
  </si>
  <si>
    <t>#12  Command</t>
  </si>
  <si>
    <t>#12  Value  (%)  (# subcond.)  (N) (deg)</t>
  </si>
  <si>
    <t>#13  Wire(s)    Set  Phase  Span</t>
  </si>
  <si>
    <t>#13  Command</t>
  </si>
  <si>
    <t>#13  Value  (%)  (# subcond.)  (N) (deg)</t>
  </si>
  <si>
    <t>#14  Wire(s)    Set  Phase  Span</t>
  </si>
  <si>
    <t>#14  Command</t>
  </si>
  <si>
    <t>#14  Value  (%)  (# subcond.)  (N) (deg)</t>
  </si>
  <si>
    <t>#15  Wire(s)    Set  Phase  Span</t>
  </si>
  <si>
    <t>#15  Command</t>
  </si>
  <si>
    <t>#15  Value  (%)  (# subcond.)  (N) (deg)</t>
  </si>
  <si>
    <t>#16  Wire(s)    Set  Phase  Span</t>
  </si>
  <si>
    <t>#16  Command</t>
  </si>
  <si>
    <t>#16  Value  (%)  (# subcond.)  (N) (deg)</t>
  </si>
  <si>
    <t>#17  Wire(s)    Set  Phase  Span</t>
  </si>
  <si>
    <t>#17  Command</t>
  </si>
  <si>
    <t>#17  Value  (%)  (# subcond.)  (N) (deg)</t>
  </si>
  <si>
    <t>#18  Wire(s)    Set  Phase  Span</t>
  </si>
  <si>
    <t>#18  Command</t>
  </si>
  <si>
    <t>#18  Value  (%)  (# subcond.)  (N) (deg)</t>
  </si>
  <si>
    <t>#19  Wire(s)    Set  Phase  Span</t>
  </si>
  <si>
    <t>#19  Command</t>
  </si>
  <si>
    <t>#19  Value  (%)  (# subcond.)  (N) (deg)</t>
  </si>
  <si>
    <t>#20  Wire(s)    Set  Phase  Span</t>
  </si>
  <si>
    <t>#20  Command</t>
  </si>
  <si>
    <t>#20  Value  (%)  (# subcond.)  (N) (deg)</t>
  </si>
  <si>
    <t>EXTREME WIND "MAX" REPORTS THE LOAD CASE WITH THE MAXIMUM USAGE ONLY (REFER PLS-TOWER MANUAL Page 166)</t>
  </si>
  <si>
    <t>ALL</t>
  </si>
  <si>
    <t>DC/SC</t>
  </si>
  <si>
    <t>VUL</t>
  </si>
  <si>
    <t>Wind on Face</t>
  </si>
  <si>
    <t>No Limit</t>
  </si>
  <si>
    <t>RP</t>
  </si>
  <si>
    <t>BI+</t>
  </si>
  <si>
    <t>BI-</t>
  </si>
  <si>
    <t>SNOW LOADING</t>
  </si>
  <si>
    <t>RP,VUL</t>
  </si>
  <si>
    <t>NA+</t>
  </si>
  <si>
    <t>L</t>
  </si>
  <si>
    <t>SC</t>
  </si>
  <si>
    <t>T</t>
  </si>
  <si>
    <t>% Wire Ice</t>
  </si>
  <si>
    <t>DC</t>
  </si>
  <si>
    <t>NA-</t>
  </si>
  <si>
    <t>THIN ICE WITH COINCIDENT WIND LOADING</t>
  </si>
  <si>
    <t>EXTREME (THICK) ICE LOADING</t>
  </si>
  <si>
    <t>SECURITY LOADING - FAILURE CONTAINMENT - WIND</t>
  </si>
  <si>
    <t>Note - all phases / earthwires default to complete breakage - employ # sub-conductors = 4</t>
  </si>
  <si>
    <t>FC</t>
  </si>
  <si>
    <t>EW7</t>
  </si>
  <si>
    <t>EW8</t>
  </si>
  <si>
    <t>SECURITY LOADING - FAILURE CONTAINMENT - SNOW</t>
  </si>
  <si>
    <t>SECURITY LOADING - FAILURE CONTAINMENT - THICK ICE</t>
  </si>
  <si>
    <t>DEFAULT CONSTRUCTION &amp; MAINTENANCE LOADING CONDITIONS - NOTE THESE ARE "BACKGROUND" LOADING CRITERIA - THEY DO NOT REFLECT THE ACTUAL LOADING TO BE APPLIED TO THE STRUCTURE</t>
  </si>
  <si>
    <t>CM</t>
  </si>
  <si>
    <t>2S</t>
  </si>
  <si>
    <t>2I</t>
  </si>
  <si>
    <t>3S</t>
  </si>
  <si>
    <t>3I</t>
  </si>
  <si>
    <t>REPLACEMENT CRITERIA LOAD CASES - APPLICABLE TO ALL STRUCTURE TYPES</t>
  </si>
  <si>
    <t>SER</t>
  </si>
  <si>
    <t>SERVICEABILITY  - CLEARANCES</t>
  </si>
  <si>
    <t>TWR</t>
  </si>
  <si>
    <t>LLW</t>
  </si>
  <si>
    <t>SERVICEABILITY CASES FOR STEEL OR CONCRETE POLES DEPENDENT ON SUPPLY STANDARD (SEE INSTRUCTIONS NOTE 2.5)</t>
  </si>
  <si>
    <t>SP</t>
  </si>
  <si>
    <t>'PLS-POLE'</t>
  </si>
  <si>
    <t>% Pole Height</t>
  </si>
  <si>
    <t>XP</t>
  </si>
  <si>
    <t>TP.DL 12.01 WEATHER AND LOAD CASE GENERATOR FOR PLS-CADD</t>
  </si>
  <si>
    <t>PLS-CADD WC &amp; LC Generator Master Rev H.xlsx</t>
  </si>
  <si>
    <t>Rev:</t>
  </si>
  <si>
    <t>Revision Description</t>
  </si>
  <si>
    <t>SITE NAME</t>
  </si>
  <si>
    <t>SECTION</t>
  </si>
  <si>
    <t>Revision</t>
  </si>
  <si>
    <t>VULNERABILITY ANALYSIS?</t>
  </si>
  <si>
    <t>N</t>
  </si>
  <si>
    <t>Years (default 300 for Towers; 150 for standard poles)</t>
  </si>
  <si>
    <t>Use this filename for this Spreadsheet</t>
  </si>
  <si>
    <t>For PLS-CADD CRITERIA FILE NAME employ</t>
  </si>
  <si>
    <t>Select Conductor &amp; Earthwire types &amp; utilisation limits</t>
  </si>
  <si>
    <t>(select *None* if not applicable)</t>
  </si>
  <si>
    <t>VDC %UTS</t>
  </si>
  <si>
    <t>MWT %UTS</t>
  </si>
  <si>
    <t>Cable Filename</t>
  </si>
  <si>
    <t>Conductor (Required)</t>
  </si>
  <si>
    <t>Coyote_ACSR_GZ_Pre1994</t>
  </si>
  <si>
    <t>Conductor</t>
  </si>
  <si>
    <t>*None*</t>
  </si>
  <si>
    <t>Earthwire</t>
  </si>
  <si>
    <t>LINE SECTION LOCATION INFORMATION</t>
  </si>
  <si>
    <t>Wind Loading Site Specific (SS) or Generic (GL)</t>
  </si>
  <si>
    <t>North or South Island</t>
  </si>
  <si>
    <t>(N or S)</t>
  </si>
  <si>
    <t>Portion of Line &lt;5km from Coast?</t>
  </si>
  <si>
    <r>
      <t>for t</t>
    </r>
    <r>
      <rPr>
        <vertAlign val="subscript"/>
        <sz val="10"/>
        <rFont val="Calibri"/>
        <family val="2"/>
        <scheme val="minor"/>
      </rPr>
      <t>min</t>
    </r>
  </si>
  <si>
    <t>Max GROUND LEVEL Altitude along line section</t>
  </si>
  <si>
    <t>Wind Zone (Ref TP.DL 12.01 Appendix B. Figure B-1)</t>
  </si>
  <si>
    <t>A6</t>
  </si>
  <si>
    <t xml:space="preserve">(If more than one wind zone refer to Transpower) </t>
  </si>
  <si>
    <t>TP.DL 12.01 Ice Zone</t>
  </si>
  <si>
    <t>S</t>
  </si>
  <si>
    <t>SECURITY Level (for RSL loading) Default = 1</t>
  </si>
  <si>
    <t>Failure Containment (FC) on all structures ?</t>
  </si>
  <si>
    <t>Identify deflection &amp; cracking specification, if applicable</t>
  </si>
  <si>
    <t xml:space="preserve">"N" = Not applicable (towers), "SP" = Standard Steel / Concrete Pole to TP.PL 01.15 </t>
  </si>
  <si>
    <t>"XP" = Standard steel pole to TP.PL 01.20;  "WP" = Standard Wood pole to TP.PL 01.11</t>
  </si>
  <si>
    <t>This ADDITIONAL data required when Generic loading selected</t>
  </si>
  <si>
    <t>The following regional wind speed has been selected</t>
  </si>
  <si>
    <r>
      <t>V</t>
    </r>
    <r>
      <rPr>
        <vertAlign val="subscript"/>
        <sz val="10"/>
        <rFont val="Calibri"/>
        <family val="2"/>
        <scheme val="minor"/>
      </rPr>
      <t>1000,Z=10,Cat=2</t>
    </r>
  </si>
  <si>
    <t>with</t>
  </si>
  <si>
    <t>Select Min Terrain Category</t>
  </si>
  <si>
    <t>Ref AS/NZS 1170.2 4.2.1 &amp;  Amdt 2</t>
  </si>
  <si>
    <t>Structures</t>
  </si>
  <si>
    <t>Condrs</t>
  </si>
  <si>
    <t>Select Average Height area centroid &gt;GL (m)</t>
  </si>
  <si>
    <r>
      <t>Terrain Height Multiplier M</t>
    </r>
    <r>
      <rPr>
        <vertAlign val="subscript"/>
        <sz val="10"/>
        <rFont val="Calibri"/>
        <family val="2"/>
        <scheme val="minor"/>
      </rPr>
      <t>Z,CAT</t>
    </r>
  </si>
  <si>
    <t>Wind speed Topographic factors</t>
  </si>
  <si>
    <r>
      <t>Effects of M</t>
    </r>
    <r>
      <rPr>
        <vertAlign val="subscript"/>
        <sz val="10"/>
        <rFont val="Calibri"/>
        <family val="2"/>
        <scheme val="minor"/>
      </rPr>
      <t>t</t>
    </r>
    <r>
      <rPr>
        <sz val="10"/>
        <rFont val="Calibri"/>
        <family val="2"/>
        <scheme val="minor"/>
      </rPr>
      <t>, M</t>
    </r>
    <r>
      <rPr>
        <vertAlign val="subscript"/>
        <sz val="10"/>
        <rFont val="Calibri"/>
        <family val="2"/>
        <scheme val="minor"/>
      </rPr>
      <t>s</t>
    </r>
    <r>
      <rPr>
        <sz val="10"/>
        <rFont val="Calibri"/>
        <family val="2"/>
        <scheme val="minor"/>
      </rPr>
      <t>,M</t>
    </r>
    <r>
      <rPr>
        <vertAlign val="subscript"/>
        <sz val="10"/>
        <rFont val="Calibri"/>
        <family val="2"/>
        <scheme val="minor"/>
      </rPr>
      <t xml:space="preserve">lee </t>
    </r>
    <r>
      <rPr>
        <sz val="10"/>
        <rFont val="Calibri"/>
        <family val="2"/>
        <scheme val="minor"/>
      </rPr>
      <t>(M</t>
    </r>
    <r>
      <rPr>
        <vertAlign val="subscript"/>
        <sz val="10"/>
        <rFont val="Calibri"/>
        <family val="2"/>
        <scheme val="minor"/>
      </rPr>
      <t>d</t>
    </r>
    <r>
      <rPr>
        <sz val="10"/>
        <rFont val="Calibri"/>
        <family val="2"/>
        <scheme val="minor"/>
      </rPr>
      <t xml:space="preserve"> = 1)</t>
    </r>
  </si>
  <si>
    <t>Average span (m)</t>
  </si>
  <si>
    <t>Span to be representative (small spans result in higher loading)</t>
  </si>
  <si>
    <t>Span Reduction Factor</t>
  </si>
  <si>
    <t>m/s [Enter in Staking Table]</t>
  </si>
  <si>
    <t>COMMENTS:</t>
  </si>
  <si>
    <t xml:space="preserve">Manual </t>
  </si>
  <si>
    <t xml:space="preserve">GENERIC Wind speed (m/s) on </t>
  </si>
  <si>
    <t xml:space="preserve">Allocate </t>
  </si>
  <si>
    <t>for Stop</t>
  </si>
  <si>
    <t>Conductors</t>
  </si>
  <si>
    <t xml:space="preserve">From PLS-CADD Model:  </t>
  </si>
  <si>
    <t>/RSL loading</t>
  </si>
  <si>
    <t>m/s</t>
  </si>
  <si>
    <t>Maximum Elevation</t>
  </si>
  <si>
    <t xml:space="preserve">Copy above into Comment columns below </t>
  </si>
  <si>
    <t>Minimum elevation</t>
  </si>
  <si>
    <t>'Stop'</t>
  </si>
  <si>
    <t>else enter site specific wind speeds in accordance with ADEGL.02.11</t>
  </si>
  <si>
    <t>Structure  Number</t>
  </si>
  <si>
    <t>Station     (m)</t>
  </si>
  <si>
    <t>Height  Adjust.   (m)</t>
  </si>
  <si>
    <t>Offset  Adjust.   (m)</t>
  </si>
  <si>
    <t>Orientation  Angle   (deg)</t>
  </si>
  <si>
    <t>X  Easting   (m)</t>
  </si>
  <si>
    <t>Y  Northing   (m)</t>
  </si>
  <si>
    <t>Centerline Z  Elevation   (m)</t>
  </si>
  <si>
    <t>TIN Z  Elevation   (m)</t>
  </si>
  <si>
    <t>Ahead  Span   (m)</t>
  </si>
  <si>
    <t>Line  Angle   (deg)</t>
  </si>
  <si>
    <t>Sets In  XY Structure  Line Angle  Calculation</t>
  </si>
  <si>
    <t>Transverse  Axis  Azimuth (deg)</t>
  </si>
  <si>
    <t>Structure  Name</t>
  </si>
  <si>
    <t>Structure  Description</t>
  </si>
  <si>
    <t>Struct.  Height   (m)</t>
  </si>
  <si>
    <t>Embedded  Length   (m)</t>
  </si>
  <si>
    <t>Structure  Specific  Material</t>
  </si>
  <si>
    <t>Counter  Weights   (N)</t>
  </si>
  <si>
    <t>Automatic  Structure  Group  Membership</t>
  </si>
  <si>
    <t>Manual  Structure  Group  Membership</t>
  </si>
  <si>
    <t>Structure  Comment  1</t>
  </si>
  <si>
    <t>Structure  Comment  2</t>
  </si>
  <si>
    <t>Structure  Comment  3</t>
  </si>
  <si>
    <t>Structure  Comment  4</t>
  </si>
  <si>
    <t>Structure  Comment  5</t>
  </si>
  <si>
    <t>Structure  Comment  6</t>
  </si>
  <si>
    <t>Structure  Comment  7</t>
  </si>
  <si>
    <t>Structure  Comment  8</t>
  </si>
  <si>
    <t>Structure  Comment  9</t>
  </si>
  <si>
    <t>Structure  Comment  10</t>
  </si>
  <si>
    <t>Structure  Comment  11</t>
  </si>
  <si>
    <t>Structure  Comment  12</t>
  </si>
  <si>
    <t>Structure  Comment  13</t>
  </si>
  <si>
    <t>Structure  Comment  14</t>
  </si>
  <si>
    <t>Structure  Comment  15</t>
  </si>
  <si>
    <t>Structure  Comment  16</t>
  </si>
  <si>
    <t>Structure  Comment  17</t>
  </si>
  <si>
    <t>Structure  Comment  18</t>
  </si>
  <si>
    <t>Structure  Comment  19</t>
  </si>
  <si>
    <t>Structure  Comment  20</t>
  </si>
  <si>
    <t>Structure  Comment  21</t>
  </si>
  <si>
    <t>Structure  Comment  22</t>
  </si>
  <si>
    <t>Structure  Comment  23</t>
  </si>
  <si>
    <t>Structure  Comment  24</t>
  </si>
  <si>
    <t>Structure  Comment  25</t>
  </si>
  <si>
    <t>Structure  Comment  26</t>
  </si>
  <si>
    <t>Structure  Comment  27</t>
  </si>
  <si>
    <t>Structure  Comment  28</t>
  </si>
  <si>
    <t>Structure  Comment  29</t>
  </si>
  <si>
    <t>Structure  Comment  30</t>
  </si>
  <si>
    <t>Structure  Comment  31</t>
  </si>
  <si>
    <t>Structure  Comment  32</t>
  </si>
  <si>
    <t>Structure  Comment  33</t>
  </si>
  <si>
    <t>Structure  Comment  34</t>
  </si>
  <si>
    <t>Structure  Comment  35</t>
  </si>
  <si>
    <t>Structure  Comment  36</t>
  </si>
  <si>
    <t>Structure  Comment  37</t>
  </si>
  <si>
    <t>Structure  Comment  38</t>
  </si>
  <si>
    <t>Structure  Comment  39</t>
  </si>
  <si>
    <t>Structure  Comment  40</t>
  </si>
  <si>
    <t>Structure  Comment  41</t>
  </si>
  <si>
    <t>Structure  Comment  42</t>
  </si>
  <si>
    <t>Structure  Comment  43</t>
  </si>
  <si>
    <t>Structure  Comment  44</t>
  </si>
  <si>
    <t>Structure  Comment  45</t>
  </si>
  <si>
    <t>Structure  Comment  46</t>
  </si>
  <si>
    <t>Structure  Comment  47</t>
  </si>
  <si>
    <t>Structure  Comment  48</t>
  </si>
  <si>
    <t>Structure  Comment  49</t>
  </si>
  <si>
    <t>Structure  Comment  50</t>
  </si>
  <si>
    <t>WHEN RESTORING BACKUP PLS-CADD FILE THIS TOOL SIMPLIFIES THE APPLICATION OF NEW FILE DIRECTORIES</t>
  </si>
  <si>
    <t xml:space="preserve">Input Old "root" directory = </t>
  </si>
  <si>
    <t>\\beca.net\data\pls\pls-cadd\2312972 - wrk-wkm c\as-building 20141205\PLS</t>
  </si>
  <si>
    <t xml:space="preserve">Input New "root" directory = </t>
  </si>
  <si>
    <t>Q:\ALB-HPI-A\_Master</t>
  </si>
  <si>
    <t>These are the new directories (copy and paste)</t>
  </si>
  <si>
    <t>Dump Existing file paths &amp; names here</t>
  </si>
  <si>
    <t>\\beca.net\data\pls\pls-cadd\2312972 - wrk-wkm c\as-building 20141205\pls\dxf\shapefiles</t>
  </si>
  <si>
    <t>\\beca.net\data\pls\pls-cadd\2312972 - wrk-wkm c\as-building 20141205\pls\dxf</t>
  </si>
  <si>
    <t>\\beca.net\data\pls\pls-cadd\2312972 - wrk-wkm c\as-building 20141205\pls\photos</t>
  </si>
  <si>
    <t>\\beca.net\data\pls\pls-cadd\2312972 - wrk-wkm c\as-building 20141205\pls\photos\als photos</t>
  </si>
  <si>
    <t>\\beca.net\data\pls\pls-cadd\2312972 - wrk-wkm c\as-building 20141205\pls\photos\orthophotos</t>
  </si>
  <si>
    <t>\\beca.net\data\pls\pls-cadd\2312972 - wrk-wkm c\as-building 20141205\pls\structures\tower\for construction</t>
  </si>
  <si>
    <t>\\beca.net\data\pls\pls-cadd\2312972 - wrk-wkm c\as-building 20141205\pls\structures\tower\final models\2ddhst\received</t>
  </si>
  <si>
    <t>\\beca.net\data\pls\pls-cadd\2312972 - wrk-wkm c\as-building 20141205\pls\structures\tower\final models</t>
  </si>
  <si>
    <t>\\beca.net\data\pls\pls-cadd\2312972 - wrk-wkm c\as-building 20141205\pls\structures\tower\final models\2ddlsu</t>
  </si>
  <si>
    <t>\\beca.net\data\pls\pls-cadd\2312972 - wrk-wkm c\as-building 20141205\pls\structures\tower\final models\2ddlst</t>
  </si>
  <si>
    <t>\\beca.net\data\pls\pls-cadd\2312972 - wrk-wkm c\as-building 20141205\pls\structures\tower\final models\2ddhsu</t>
  </si>
  <si>
    <t>\\beca.net\data\pls\pls-cadd\2312972 - wrk-wkm c\as-building 20141205\pls\structures\tower\final models\2ddhst</t>
  </si>
  <si>
    <t>\\beca.net\data\pls\pls-cadd\2312972 - wrk-wkm c\as-building 20141205\pls\structures\stick</t>
  </si>
  <si>
    <t>\\beca.net\data\pls\pls-cadd\2312972 - wrk-wkm c\as-building 20141205\pls\structures</t>
  </si>
  <si>
    <t>\\beca.net\data\pls\pls-cadd\2312972 - wrk-wkm c\as-building 20141205\pls</t>
  </si>
  <si>
    <t>\\beca.net\data\pls\pls-cadd\2312972 - wrk-wkm c\as-building 20141205\pls\cables\temp earthwires</t>
  </si>
  <si>
    <t>\\beca.net\data\pls\pls-cadd\2312972 - wrk-wkm c\as-building 20141205\pls\cables</t>
  </si>
  <si>
    <t>REFERENCE AND LOOKUP DATA</t>
  </si>
  <si>
    <t>DO NOT MODIFY AT ALL - PLEASE REPORT ALL PROBLEMS</t>
  </si>
  <si>
    <t>Wind Speed MRP factor to convert V1000 to target reliability</t>
  </si>
  <si>
    <t>From TP.DL 12.01 Issue 4 Appendix C</t>
  </si>
  <si>
    <t>DERIVATION OF GENERIC WIND PRESSURES</t>
  </si>
  <si>
    <t>Max Wind (MW)</t>
  </si>
  <si>
    <t>Min Temp (MT)</t>
  </si>
  <si>
    <t>Table 5 Nominal Extreme Wind Pressures (Pa)</t>
  </si>
  <si>
    <t>Y, m, d</t>
  </si>
  <si>
    <t>Years</t>
  </si>
  <si>
    <t>AMW</t>
  </si>
  <si>
    <t>WMW</t>
  </si>
  <si>
    <t>AMT</t>
  </si>
  <si>
    <t>WMT</t>
  </si>
  <si>
    <t>Component (Obstacle) Type</t>
  </si>
  <si>
    <t>Wind Region</t>
  </si>
  <si>
    <t>Region</t>
  </si>
  <si>
    <t>1000 Yrs</t>
  </si>
  <si>
    <t>A6, A7</t>
  </si>
  <si>
    <t>W</t>
  </si>
  <si>
    <t>500 Yrs</t>
  </si>
  <si>
    <t>Conductors &amp; Earthwires (excluding SRF, TSRF)</t>
  </si>
  <si>
    <t>Wind direction</t>
  </si>
  <si>
    <t>Default All</t>
  </si>
  <si>
    <t>450 Yrs</t>
  </si>
  <si>
    <t>Insulators &amp; Pole supports (circular, 12 or 16 sided)</t>
  </si>
  <si>
    <r>
      <t>V</t>
    </r>
    <r>
      <rPr>
        <vertAlign val="subscript"/>
        <sz val="10"/>
        <rFont val="Calibri"/>
        <family val="2"/>
        <scheme val="minor"/>
      </rPr>
      <t>1000</t>
    </r>
  </si>
  <si>
    <t>400 Yrs</t>
  </si>
  <si>
    <t>Lattice Towers (flat sided members)</t>
  </si>
  <si>
    <r>
      <t>M</t>
    </r>
    <r>
      <rPr>
        <vertAlign val="subscript"/>
        <sz val="10"/>
        <rFont val="Calibri"/>
        <family val="2"/>
        <scheme val="minor"/>
      </rPr>
      <t>RP</t>
    </r>
  </si>
  <si>
    <t>350 Yrs</t>
  </si>
  <si>
    <t>300 Yrs</t>
  </si>
  <si>
    <t>Above wind prerssures assume</t>
  </si>
  <si>
    <t>Default</t>
  </si>
  <si>
    <t>Selected</t>
  </si>
  <si>
    <t>250 Yrs</t>
  </si>
  <si>
    <t xml:space="preserve">Terrain category </t>
  </si>
  <si>
    <t>Z obstacle CG (m) &gt;GL</t>
  </si>
  <si>
    <t>200 Yrs</t>
  </si>
  <si>
    <t>Obstacle Height</t>
  </si>
  <si>
    <r>
      <t>M</t>
    </r>
    <r>
      <rPr>
        <vertAlign val="subscript"/>
        <sz val="10"/>
        <rFont val="Calibri"/>
        <family val="2"/>
        <scheme val="minor"/>
      </rPr>
      <t>d</t>
    </r>
  </si>
  <si>
    <t>150 Yrs</t>
  </si>
  <si>
    <t>Towers</t>
  </si>
  <si>
    <r>
      <t>M</t>
    </r>
    <r>
      <rPr>
        <vertAlign val="subscript"/>
        <sz val="10"/>
        <rFont val="Calibri"/>
        <family val="2"/>
        <scheme val="minor"/>
      </rPr>
      <t>(z,cat)</t>
    </r>
  </si>
  <si>
    <t>100 Yrs</t>
  </si>
  <si>
    <t>Return Period RP</t>
  </si>
  <si>
    <r>
      <t>M</t>
    </r>
    <r>
      <rPr>
        <vertAlign val="subscript"/>
        <sz val="10"/>
        <rFont val="Calibri"/>
        <family val="2"/>
        <scheme val="minor"/>
      </rPr>
      <t xml:space="preserve">t, </t>
    </r>
    <r>
      <rPr>
        <sz val="10"/>
        <rFont val="Calibri"/>
        <family val="2"/>
        <scheme val="minor"/>
      </rPr>
      <t>M</t>
    </r>
    <r>
      <rPr>
        <vertAlign val="subscript"/>
        <sz val="10"/>
        <rFont val="Calibri"/>
        <family val="2"/>
        <scheme val="minor"/>
      </rPr>
      <t>s</t>
    </r>
  </si>
  <si>
    <t>75 Yrs</t>
  </si>
  <si>
    <t>Lattice Tower solidity ratio</t>
  </si>
  <si>
    <t>50 Yrs</t>
  </si>
  <si>
    <t>Pa</t>
  </si>
  <si>
    <t>40 Yrs</t>
  </si>
  <si>
    <r>
      <t>M</t>
    </r>
    <r>
      <rPr>
        <vertAlign val="subscript"/>
        <sz val="10"/>
        <rFont val="Calibri"/>
        <family val="2"/>
        <scheme val="minor"/>
      </rPr>
      <t>RP 1m</t>
    </r>
  </si>
  <si>
    <t>Imth return period</t>
  </si>
  <si>
    <t>30 Yrs</t>
  </si>
  <si>
    <t>25 Yrs</t>
  </si>
  <si>
    <t>20 Yrs</t>
  </si>
  <si>
    <t>HWD (0.5P)</t>
  </si>
  <si>
    <t>15 Yrs</t>
  </si>
  <si>
    <t>10 Yrs</t>
  </si>
  <si>
    <t>5 Yrs</t>
  </si>
  <si>
    <t>Wind Direction Factor Md</t>
  </si>
  <si>
    <t>A7</t>
  </si>
  <si>
    <t>4 Yrs</t>
  </si>
  <si>
    <t>3 Yrs</t>
  </si>
  <si>
    <t>2 Yrs</t>
  </si>
  <si>
    <t>NE</t>
  </si>
  <si>
    <t>1 Yr</t>
  </si>
  <si>
    <t>9 m</t>
  </si>
  <si>
    <t>SE</t>
  </si>
  <si>
    <t>6 m</t>
  </si>
  <si>
    <t>5 m</t>
  </si>
  <si>
    <t>SW</t>
  </si>
  <si>
    <t>3 m</t>
  </si>
  <si>
    <t>2 m</t>
  </si>
  <si>
    <t>NW</t>
  </si>
  <si>
    <t>1 m</t>
  </si>
  <si>
    <t>3 w</t>
  </si>
  <si>
    <t>Regional Wind Speed</t>
  </si>
  <si>
    <r>
      <t>V</t>
    </r>
    <r>
      <rPr>
        <b/>
        <vertAlign val="subscript"/>
        <sz val="10"/>
        <rFont val="Calibri"/>
        <family val="2"/>
        <scheme val="minor"/>
      </rPr>
      <t>1000</t>
    </r>
  </si>
  <si>
    <t>2 w</t>
  </si>
  <si>
    <t>1 w</t>
  </si>
  <si>
    <t>4 days</t>
  </si>
  <si>
    <t>1 day</t>
  </si>
  <si>
    <t>Terrain Categories</t>
  </si>
  <si>
    <t>Ref AS/NZS 1170.2 Amdt 2</t>
  </si>
  <si>
    <t>Brief Description (see standard for full description)</t>
  </si>
  <si>
    <t>[Terrains]</t>
  </si>
  <si>
    <t>Terrain Category 1 (TC1) Very exposed open terrain with few or no obstructions</t>
  </si>
  <si>
    <t>Open water surfaces subjected to shoaling waves at serviceability and ultimate wind speeds</t>
  </si>
  <si>
    <t>Open terrain, including grassland, with well-scattered obstructions having heights generally from 1.5 m to 5 m</t>
  </si>
  <si>
    <t>Terrain with a few trees or isolated obstructions. This category is intermediate between TC2 and TC3</t>
  </si>
  <si>
    <t>Terrain with numerous closely spaced obstructions having heights generally from 3 m to 10 m.</t>
  </si>
  <si>
    <t>[This category is intermediate between TC3 and TC4]</t>
  </si>
  <si>
    <t>Terrain with numerous large, high (10 m to 30 m tall) and closely-spaced constructions</t>
  </si>
  <si>
    <t>North Island</t>
  </si>
  <si>
    <t>South Island</t>
  </si>
  <si>
    <t xml:space="preserve"> ≤5km Coast?</t>
  </si>
  <si>
    <t>Y</t>
  </si>
  <si>
    <t>Everyday wind (100Pa) or still air</t>
  </si>
  <si>
    <r>
      <t>t</t>
    </r>
    <r>
      <rPr>
        <b/>
        <sz val="7"/>
        <color indexed="8"/>
        <rFont val="Book Antiqua"/>
        <family val="1"/>
        <charset val="204"/>
      </rPr>
      <t>ed</t>
    </r>
  </si>
  <si>
    <t xml:space="preserve">Central Plateau: </t>
  </si>
  <si>
    <t>Inland (&gt;25km)</t>
  </si>
  <si>
    <t>NY</t>
  </si>
  <si>
    <t>NN</t>
  </si>
  <si>
    <t>SY</t>
  </si>
  <si>
    <t>SN</t>
  </si>
  <si>
    <t xml:space="preserve">Remainder: </t>
  </si>
  <si>
    <t>Remainder:</t>
  </si>
  <si>
    <t>Altitude (m)</t>
  </si>
  <si>
    <t>Maximum wind</t>
  </si>
  <si>
    <r>
      <t>t</t>
    </r>
    <r>
      <rPr>
        <b/>
        <sz val="7"/>
        <color indexed="8"/>
        <rFont val="Book Antiqua"/>
        <family val="1"/>
        <charset val="204"/>
      </rPr>
      <t>mw</t>
    </r>
  </si>
  <si>
    <t>15 – 0.006H</t>
  </si>
  <si>
    <t>10 – 0.006H</t>
  </si>
  <si>
    <r>
      <t>Min temp + wind (0.6V</t>
    </r>
    <r>
      <rPr>
        <b/>
        <sz val="7"/>
        <color indexed="8"/>
        <rFont val="Book Antiqua"/>
        <family val="1"/>
        <charset val="204"/>
      </rPr>
      <t xml:space="preserve">des </t>
    </r>
    <r>
      <rPr>
        <b/>
        <sz val="10"/>
        <color indexed="8"/>
        <rFont val="Book Antiqua"/>
        <family val="1"/>
        <charset val="204"/>
      </rPr>
      <t>= 0.36P</t>
    </r>
    <r>
      <rPr>
        <b/>
        <sz val="7"/>
        <color indexed="8"/>
        <rFont val="Book Antiqua"/>
        <family val="1"/>
        <charset val="204"/>
      </rPr>
      <t>des</t>
    </r>
    <r>
      <rPr>
        <b/>
        <sz val="10"/>
        <color indexed="8"/>
        <rFont val="Book Antiqua"/>
        <family val="1"/>
        <charset val="204"/>
      </rPr>
      <t>)
&amp; Coincident ice &amp; wind</t>
    </r>
  </si>
  <si>
    <r>
      <t>t</t>
    </r>
    <r>
      <rPr>
        <b/>
        <sz val="7"/>
        <color indexed="8"/>
        <rFont val="Book Antiqua"/>
        <family val="1"/>
        <charset val="204"/>
      </rPr>
      <t xml:space="preserve">min
</t>
    </r>
    <r>
      <rPr>
        <b/>
        <sz val="10"/>
        <color indexed="8"/>
        <rFont val="Book Antiqua"/>
        <family val="1"/>
        <charset val="204"/>
      </rPr>
      <t xml:space="preserve">&amp;
</t>
    </r>
    <r>
      <rPr>
        <b/>
        <sz val="11"/>
        <color indexed="8"/>
        <rFont val="Book Antiqua"/>
        <family val="1"/>
        <charset val="204"/>
      </rPr>
      <t>t</t>
    </r>
    <r>
      <rPr>
        <b/>
        <sz val="7"/>
        <color indexed="8"/>
        <rFont val="Book Antiqua"/>
        <family val="1"/>
        <charset val="204"/>
      </rPr>
      <t>ice</t>
    </r>
  </si>
  <si>
    <r>
      <t xml:space="preserve">≤5 km of coast
</t>
    </r>
    <r>
      <rPr>
        <b/>
        <sz val="10"/>
        <color indexed="8"/>
        <rFont val="Book Antiqua"/>
        <family val="1"/>
        <charset val="204"/>
      </rPr>
      <t>-3 – 0.0085H</t>
    </r>
  </si>
  <si>
    <r>
      <t xml:space="preserve">≤5 km of coast
</t>
    </r>
    <r>
      <rPr>
        <b/>
        <sz val="10"/>
        <color indexed="8"/>
        <rFont val="Book Antiqua"/>
        <family val="1"/>
        <charset val="204"/>
      </rPr>
      <t>-5 – 0.0085H</t>
    </r>
  </si>
  <si>
    <t xml:space="preserve"> ≤5km Coast</t>
  </si>
  <si>
    <r>
      <t xml:space="preserve">&gt;5 km from coast
</t>
    </r>
    <r>
      <rPr>
        <b/>
        <sz val="10"/>
        <color indexed="8"/>
        <rFont val="Book Antiqua"/>
        <family val="1"/>
        <charset val="204"/>
      </rPr>
      <t>-5 – 0.0085H</t>
    </r>
  </si>
  <si>
    <r>
      <t xml:space="preserve">&gt;5 km from coast
</t>
    </r>
    <r>
      <rPr>
        <b/>
        <sz val="10"/>
        <color indexed="8"/>
        <rFont val="Book Antiqua"/>
        <family val="1"/>
        <charset val="204"/>
      </rPr>
      <t>-7 – 0.0085H</t>
    </r>
  </si>
  <si>
    <r>
      <t>t</t>
    </r>
    <r>
      <rPr>
        <b/>
        <vertAlign val="subscript"/>
        <sz val="11"/>
        <color indexed="8"/>
        <rFont val="Book Antiqua"/>
        <family val="1"/>
      </rPr>
      <t>min</t>
    </r>
    <r>
      <rPr>
        <b/>
        <sz val="11"/>
        <color indexed="8"/>
        <rFont val="Book Antiqua"/>
        <family val="1"/>
      </rPr>
      <t>, t</t>
    </r>
    <r>
      <rPr>
        <b/>
        <vertAlign val="subscript"/>
        <sz val="11"/>
        <color indexed="8"/>
        <rFont val="Book Antiqua"/>
        <family val="1"/>
      </rPr>
      <t>ice</t>
    </r>
  </si>
  <si>
    <t>Wet Snow</t>
  </si>
  <si>
    <r>
      <t>t</t>
    </r>
    <r>
      <rPr>
        <b/>
        <sz val="7"/>
        <color indexed="8"/>
        <rFont val="Book Antiqua"/>
        <family val="1"/>
        <charset val="204"/>
      </rPr>
      <t>snow</t>
    </r>
  </si>
  <si>
    <t>tsnow</t>
  </si>
  <si>
    <t>Construction &amp; Maintenance</t>
  </si>
  <si>
    <r>
      <t>t</t>
    </r>
    <r>
      <rPr>
        <b/>
        <sz val="7"/>
        <color indexed="8"/>
        <rFont val="Book Antiqua"/>
        <family val="1"/>
        <charset val="204"/>
      </rPr>
      <t>cm</t>
    </r>
  </si>
  <si>
    <t>tcm</t>
  </si>
  <si>
    <t>Condr 1</t>
  </si>
  <si>
    <t>Condr2</t>
  </si>
  <si>
    <t>Condr3</t>
  </si>
  <si>
    <t>Condr4</t>
  </si>
  <si>
    <t>Clearance /
Serviceability
Condition</t>
  </si>
  <si>
    <t>Wind Pressure</t>
  </si>
  <si>
    <r>
      <t xml:space="preserve">Phase conductor temperature with coincident wind (interpolate for intermediate temperatures) </t>
    </r>
    <r>
      <rPr>
        <b/>
        <sz val="7"/>
        <color indexed="8"/>
        <rFont val="Book Antiqua"/>
        <family val="1"/>
        <charset val="204"/>
      </rPr>
      <t>*1</t>
    </r>
  </si>
  <si>
    <t>Max design condr temp</t>
  </si>
  <si>
    <r>
      <t>t</t>
    </r>
    <r>
      <rPr>
        <b/>
        <sz val="7"/>
        <color indexed="8"/>
        <rFont val="Book Antiqua"/>
        <family val="1"/>
        <charset val="204"/>
      </rPr>
      <t>max</t>
    </r>
  </si>
  <si>
    <t>0 Pa</t>
  </si>
  <si>
    <t>Continuous wind blowout</t>
  </si>
  <si>
    <r>
      <t>t</t>
    </r>
    <r>
      <rPr>
        <b/>
        <sz val="7"/>
        <color indexed="8"/>
        <rFont val="Book Antiqua"/>
        <family val="1"/>
        <charset val="204"/>
      </rPr>
      <t>edd</t>
    </r>
  </si>
  <si>
    <t>100 Pa</t>
  </si>
  <si>
    <r>
      <t>t</t>
    </r>
    <r>
      <rPr>
        <b/>
        <sz val="7"/>
        <color indexed="8"/>
        <rFont val="Book Antiqua"/>
        <family val="1"/>
        <charset val="204"/>
      </rPr>
      <t>hwd</t>
    </r>
  </si>
  <si>
    <t>RP 3yrs</t>
  </si>
  <si>
    <t>Max Wind Easement
Check</t>
  </si>
  <si>
    <r>
      <t>t</t>
    </r>
    <r>
      <rPr>
        <b/>
        <sz val="7"/>
        <color indexed="8"/>
        <rFont val="Book Antiqua"/>
        <family val="1"/>
        <charset val="204"/>
      </rPr>
      <t>mwd</t>
    </r>
  </si>
  <si>
    <t>RP 50yrs</t>
  </si>
  <si>
    <r>
      <t>NOTE - LOOKUP FORMULAE TO BE MODIFIED TO CATER FOR 150</t>
    </r>
    <r>
      <rPr>
        <sz val="10"/>
        <rFont val="Symbol"/>
        <family val="1"/>
        <charset val="2"/>
      </rPr>
      <t>°</t>
    </r>
  </si>
  <si>
    <t>Requires rework of rating spreadhseet</t>
  </si>
  <si>
    <t>ICE - SNOW LOADING - LOOKUP TABLE FOR RADIAL THICKNESS, COINCIDENT WIND, DENSITIES &amp; COINCIDENT TEMPERATURES</t>
  </si>
  <si>
    <t xml:space="preserve"> Table 8 Extreme Snow and Ice Loading</t>
  </si>
  <si>
    <t>Extreme Snow (20Pa coincident wind); tsnow = -5</t>
  </si>
  <si>
    <t>"Thin" Ice / High coincident wind</t>
  </si>
  <si>
    <t>"Thick" Ice / Low Coincident wind (20MPa)</t>
  </si>
  <si>
    <t>Thick Ice Density (N/m3) for conductor dia less than or equal to  (mm) WITH RADIAL ICE THICKNESS OF (mm)</t>
  </si>
  <si>
    <t>Ice Density for conductor dia (max)</t>
  </si>
  <si>
    <t>radial thickness (mm)</t>
  </si>
  <si>
    <t>Radial thickness (mm)</t>
  </si>
  <si>
    <t>Radial Thickness (mm)</t>
  </si>
  <si>
    <t>Zone</t>
  </si>
  <si>
    <t>Altitude</t>
  </si>
  <si>
    <t>Type</t>
  </si>
  <si>
    <t>Radial thick (mm)</t>
  </si>
  <si>
    <t>N0</t>
  </si>
  <si>
    <t>N1</t>
  </si>
  <si>
    <t>≤ 500</t>
  </si>
  <si>
    <t>Altitude (m) max</t>
  </si>
  <si>
    <t>&gt;500 ≤600</t>
  </si>
  <si>
    <t>Snow</t>
  </si>
  <si>
    <t>20 Pa</t>
  </si>
  <si>
    <t>≤200</t>
  </si>
  <si>
    <t>Thick</t>
  </si>
  <si>
    <t>&gt;200 ≤600</t>
  </si>
  <si>
    <t>N0 &amp; N1</t>
  </si>
  <si>
    <t>≤600</t>
  </si>
  <si>
    <t>≤900</t>
  </si>
  <si>
    <t>Thick Ice</t>
  </si>
  <si>
    <t>≤1200</t>
  </si>
  <si>
    <t>&gt;1200</t>
  </si>
  <si>
    <t>&gt;600</t>
  </si>
  <si>
    <t>Thin Ice</t>
  </si>
  <si>
    <t>RP 1 month</t>
  </si>
  <si>
    <t>Wind pressure</t>
  </si>
  <si>
    <t>Pa/Mrp</t>
  </si>
  <si>
    <t>&gt;900</t>
  </si>
  <si>
    <t>Density</t>
  </si>
  <si>
    <t>N/m3</t>
  </si>
  <si>
    <t>LOOKUP</t>
  </si>
  <si>
    <t>≤100</t>
  </si>
  <si>
    <t>TEST the formula below</t>
  </si>
  <si>
    <t>Coincident temperatures</t>
  </si>
  <si>
    <r>
      <t>&gt;</t>
    </r>
    <r>
      <rPr>
        <sz val="10"/>
        <color rgb="FFFF0000"/>
        <rFont val="Book Antiqua"/>
        <family val="1"/>
      </rPr>
      <t>100</t>
    </r>
    <r>
      <rPr>
        <sz val="10"/>
        <color indexed="8"/>
        <rFont val="Book Antiqua"/>
        <family val="1"/>
        <charset val="204"/>
      </rPr>
      <t xml:space="preserve"> ≤600</t>
    </r>
  </si>
  <si>
    <t xml:space="preserve"> Ice / Snow Zone</t>
  </si>
  <si>
    <t>Thick(cm)</t>
  </si>
  <si>
    <t>Pressure</t>
  </si>
  <si>
    <t>RP &amp;Mrp</t>
  </si>
  <si>
    <r>
      <t>≤</t>
    </r>
    <r>
      <rPr>
        <sz val="10"/>
        <color rgb="FFFF0000"/>
        <rFont val="Book Antiqua"/>
        <family val="1"/>
      </rPr>
      <t>700</t>
    </r>
  </si>
  <si>
    <t>Wind Zone</t>
  </si>
  <si>
    <t xml:space="preserve">Ice </t>
  </si>
  <si>
    <t>Distance from coast</t>
  </si>
  <si>
    <t>Temp</t>
  </si>
  <si>
    <t>Alt</t>
  </si>
  <si>
    <t>&lt;5km</t>
  </si>
  <si>
    <t>&gt;5km</t>
  </si>
  <si>
    <t>Dist_from_coast</t>
  </si>
  <si>
    <t>[Ice-Snow Zone]</t>
  </si>
  <si>
    <t>[List]</t>
  </si>
  <si>
    <t>RP 1 year</t>
  </si>
  <si>
    <t>°</t>
  </si>
  <si>
    <r>
      <t>&gt;</t>
    </r>
    <r>
      <rPr>
        <sz val="10"/>
        <color rgb="FFFF0000"/>
        <rFont val="Book Antiqua"/>
        <family val="1"/>
      </rPr>
      <t>700</t>
    </r>
  </si>
  <si>
    <t>Table 11 Failure Containment - Reduced Ice and Snow conditions</t>
  </si>
  <si>
    <t>Also employed for CM3</t>
  </si>
  <si>
    <t>FAILURE CONTAINMENT</t>
  </si>
  <si>
    <t>Ground Altitude (m)</t>
  </si>
  <si>
    <t>Type of accretion</t>
  </si>
  <si>
    <r>
      <t xml:space="preserve">Radial Thickness (mm)
</t>
    </r>
    <r>
      <rPr>
        <sz val="10"/>
        <color indexed="8"/>
        <rFont val="Book Antiqua"/>
        <family val="1"/>
        <charset val="204"/>
      </rPr>
      <t xml:space="preserve">(33% of </t>
    </r>
    <r>
      <rPr>
        <b/>
        <sz val="10"/>
        <color indexed="8"/>
        <rFont val="Book Antiqua"/>
        <family val="1"/>
        <charset val="204"/>
      </rPr>
      <t>Table 8 values)</t>
    </r>
  </si>
  <si>
    <r>
      <t>Density (N/m</t>
    </r>
    <r>
      <rPr>
        <b/>
        <sz val="7"/>
        <color indexed="8"/>
        <rFont val="Book Antiqua"/>
        <family val="1"/>
        <charset val="204"/>
      </rPr>
      <t>3</t>
    </r>
    <r>
      <rPr>
        <b/>
        <sz val="10"/>
        <color indexed="8"/>
        <rFont val="Book Antiqua"/>
        <family val="1"/>
        <charset val="204"/>
      </rPr>
      <t>)</t>
    </r>
  </si>
  <si>
    <t>RSL Snow (No wind); tsnow = -5</t>
  </si>
  <si>
    <t>N0&amp;N1</t>
  </si>
  <si>
    <t>&gt;600 ≤900</t>
  </si>
  <si>
    <t>&gt;900 ≤1200</t>
  </si>
  <si>
    <t>≤50</t>
  </si>
  <si>
    <t>&gt;50 ≤600</t>
  </si>
  <si>
    <t>&gt;600 ≤750</t>
  </si>
  <si>
    <t>&gt;750 ≤900</t>
  </si>
  <si>
    <t>RSL&amp;</t>
  </si>
  <si>
    <t>Table 7 Drag Factors for Pole Shapes</t>
  </si>
  <si>
    <t>Support Shape</t>
  </si>
  <si>
    <t>Cp</t>
  </si>
  <si>
    <t>Circular; 16 sided</t>
  </si>
  <si>
    <t>12 sided</t>
  </si>
  <si>
    <t>8 or 6 sided</t>
  </si>
  <si>
    <t>Square, rectangular</t>
  </si>
  <si>
    <t>A123</t>
  </si>
  <si>
    <t>A456</t>
  </si>
  <si>
    <t>B123</t>
  </si>
  <si>
    <t>B456</t>
  </si>
  <si>
    <t>A12</t>
  </si>
  <si>
    <t>A23</t>
  </si>
  <si>
    <t>B12</t>
  </si>
  <si>
    <t>B23</t>
  </si>
  <si>
    <t>Conductor Data (extracted from CONDPARA (R5) - Imp to Metric v4.xlsx)</t>
  </si>
  <si>
    <t>Name</t>
  </si>
  <si>
    <t>Sort Id</t>
  </si>
  <si>
    <t>Equ.Area</t>
  </si>
  <si>
    <t xml:space="preserve">O/a Dia. </t>
  </si>
  <si>
    <t>Weight</t>
  </si>
  <si>
    <t>Actual CSA</t>
  </si>
  <si>
    <t>Breaking Load</t>
  </si>
  <si>
    <t xml:space="preserve">E </t>
  </si>
  <si>
    <t>Ther.Exp</t>
  </si>
  <si>
    <t>Add. Wt.</t>
  </si>
  <si>
    <t>Add. Area</t>
  </si>
  <si>
    <t>Creep Allow</t>
  </si>
  <si>
    <t>sq.mm</t>
  </si>
  <si>
    <t>(mm)</t>
  </si>
  <si>
    <t>(N/m)</t>
  </si>
  <si>
    <t>(sq.mm)</t>
  </si>
  <si>
    <t>(kN)</t>
  </si>
  <si>
    <t>(kN/sq.mm)</t>
  </si>
  <si>
    <t>(/deg.C)</t>
  </si>
  <si>
    <t>(mm/m)</t>
  </si>
  <si>
    <t>°C</t>
  </si>
  <si>
    <t>SELECT</t>
  </si>
  <si>
    <t>19_2.87_SCGZ</t>
  </si>
  <si>
    <t>SC/GZ</t>
  </si>
  <si>
    <t>19_3.26_SCAC</t>
  </si>
  <si>
    <t>SC/AC</t>
  </si>
  <si>
    <t>19_3.26_SCAC_Present</t>
  </si>
  <si>
    <t>7_2.59_SCAC</t>
  </si>
  <si>
    <t>7_2.59_SCAC_Present</t>
  </si>
  <si>
    <t>7_2.59_SCGZ</t>
  </si>
  <si>
    <t>7_2.64_SCGZ</t>
  </si>
  <si>
    <t>7_3.05_SCAC</t>
  </si>
  <si>
    <t>7_3.05_SCAC_Present</t>
  </si>
  <si>
    <t>7_3.05_SCGZ</t>
  </si>
  <si>
    <t>7_3.18_SCAC</t>
  </si>
  <si>
    <t>7_3.18_SCAC_Present</t>
  </si>
  <si>
    <t>7_3.18_SCGZ</t>
  </si>
  <si>
    <t>7_3.68_SCGZ</t>
  </si>
  <si>
    <t>7_3.71_SCAC</t>
  </si>
  <si>
    <t>7_3.71_SCAC_Present</t>
  </si>
  <si>
    <t>7_3.71_SCGZ</t>
  </si>
  <si>
    <t>7_4.25_SCAC</t>
  </si>
  <si>
    <t>7_4.25_SCAC_Present</t>
  </si>
  <si>
    <t>Centipede AAC_Present</t>
  </si>
  <si>
    <t>AAC</t>
  </si>
  <si>
    <t>Chukar_(M)_ACSR_GZ_Pre1994</t>
  </si>
  <si>
    <t>ACSR/GZ</t>
  </si>
  <si>
    <t>Chukar_ACSR_GZ_Pre1994</t>
  </si>
  <si>
    <t>Chukar_NZ_ACSR_AC_Present</t>
  </si>
  <si>
    <t>ACSR/AC</t>
  </si>
  <si>
    <t>Chukar_NZ_ACSR_GZ_Pre1994</t>
  </si>
  <si>
    <t>Cicada_AAC_Present</t>
  </si>
  <si>
    <t>Cockroach_AAC_Present</t>
  </si>
  <si>
    <t>Coyote_ACSR_AC_Present</t>
  </si>
  <si>
    <t>Cricket_ACSR_AC_Present</t>
  </si>
  <si>
    <t>Cu_19_2.34</t>
  </si>
  <si>
    <t>HD Copper</t>
  </si>
  <si>
    <t>Cu_19_2.57</t>
  </si>
  <si>
    <t>Cu_37_1.83</t>
  </si>
  <si>
    <t>Cu_37_2.62</t>
  </si>
  <si>
    <t>Cu_7_2.64</t>
  </si>
  <si>
    <t>Cu_7_3.45</t>
  </si>
  <si>
    <t>Dog_ACSR_AC_Present</t>
  </si>
  <si>
    <t>Dog_ACSR_GZ_Pre1994</t>
  </si>
  <si>
    <t>Goat_ACSR_AC_Present</t>
  </si>
  <si>
    <t>Goat_ACSR_GZ_Pre1994</t>
  </si>
  <si>
    <t>Hare_ACSR_AC_Present</t>
  </si>
  <si>
    <t>Hare_ACSR_GZ_Pre1994</t>
  </si>
  <si>
    <t>Hyena_ACSR_AC_Present</t>
  </si>
  <si>
    <t>Krypton_AAAC_Present</t>
  </si>
  <si>
    <t>AAAC</t>
  </si>
  <si>
    <t>Lacrosse_ACSR_AC_Present</t>
  </si>
  <si>
    <t>Lutetium_AAAC_Present</t>
  </si>
  <si>
    <t>Mink_ACSR_AC_Present</t>
  </si>
  <si>
    <t>Mink_ACSR_GZ_Pre1994</t>
  </si>
  <si>
    <t>Moa_ACSR_AC_Present</t>
  </si>
  <si>
    <t>Moa_ACSR_GZ_Pre1994</t>
  </si>
  <si>
    <t>Neon_AAAC_Present</t>
  </si>
  <si>
    <t>Nitrogen_AAAC_Present</t>
  </si>
  <si>
    <t>Nobelium_AAAC_Present</t>
  </si>
  <si>
    <t>OPGW_70mm2_Hitachi_(12F)</t>
  </si>
  <si>
    <t>OPGW</t>
  </si>
  <si>
    <t>OPGW_70mm2_J-Power_(12F)</t>
  </si>
  <si>
    <t>OPGW_109mm2_SFPOC_(24F)</t>
  </si>
  <si>
    <t>OPGW_120mm2_J-Power_(24F)</t>
  </si>
  <si>
    <t>OPGW_120mm2_Hitachi_(12F)</t>
  </si>
  <si>
    <t>OPGW_127mm2_SFPOC_(144F)</t>
  </si>
  <si>
    <t>OPGW_174mm2_SFPOC_(24F)</t>
  </si>
  <si>
    <t>Oxygen_AAAC_Present</t>
  </si>
  <si>
    <t>Partridge_ACSR_AC_Present</t>
  </si>
  <si>
    <t>Pheasant_ACSR_AC_Present</t>
  </si>
  <si>
    <t>Pheasant_ACSR_GZ_Pre1994</t>
  </si>
  <si>
    <t>Phosphorous_AAAC_Present</t>
  </si>
  <si>
    <t>Pigeon_ACSR_AC_Present</t>
  </si>
  <si>
    <t>Pigeon_ACSR_GZ_Pre1994</t>
  </si>
  <si>
    <t>Selenium_AAAC_Present</t>
  </si>
  <si>
    <t>Silicon_AAAC_Present</t>
  </si>
  <si>
    <t>Skunk_ACSR_AC_Present</t>
  </si>
  <si>
    <t>Skunk_ACSR_GZ_Pre1994</t>
  </si>
  <si>
    <t>Sulphur_AAAC_Present</t>
  </si>
  <si>
    <t>Uranus_AAC_Present</t>
  </si>
  <si>
    <t>Ursula_AAC_Present</t>
  </si>
  <si>
    <t>Venus_AAC_Present</t>
  </si>
  <si>
    <t>Weke_AAC_Present</t>
  </si>
  <si>
    <t>Wolf_ACSR_AC_Present</t>
  </si>
  <si>
    <t>Wolf_ACSR_GZ_Pre1994</t>
  </si>
  <si>
    <t>Zebra_ACSR_AC_Present</t>
  </si>
  <si>
    <t>Zebra_ACSR_GZ_Pre1994</t>
  </si>
  <si>
    <t>SS</t>
  </si>
  <si>
    <t>Everyday still air Condr 1</t>
  </si>
  <si>
    <t>Everyday still air Condr 2</t>
  </si>
  <si>
    <t>Everyday still air Condr 3</t>
  </si>
  <si>
    <t>Everyday still air Condr 4</t>
  </si>
  <si>
    <t>H-M1</t>
  </si>
  <si>
    <t>Added Weather Cases EDS_xx (tedd), and now all snow / ice weather cases up to and including the zones relevant to maximum altitude specified in the control tab are shown in "Weather Cases All" Tab. Structure loads are untouched. Weather cases relevant to those required for UCA risk assessment have been updated. It is noted the following are cases vary with height and remain untouched by this revision RS, RI, CM, MTS, RC, CA, RCS, RCI.</t>
  </si>
  <si>
    <t>H-M2</t>
  </si>
  <si>
    <t>Ammended torsional snow/ice cases so that correct 40/70% is applied to strain structures.</t>
  </si>
  <si>
    <t>H-M3</t>
  </si>
  <si>
    <t>Ammended cell U120 on ref tab. Was incorrectly not applying densities for north island ice zones. Affected RSL and CM based ice cases for N0 and N1.</t>
  </si>
  <si>
    <t>Added corresponding weather cases to Load Criteria for cases (CM2S, CM2I, CM3S &amp; CM3I) which did not have opposing NA+ / NA- pair.
Change to original weather case table to negate weather cases (MOT, EDD, HWD &amp; MWD) for conductors 2, 3 &amp; 4 where no conductor is specified.</t>
  </si>
  <si>
    <t>H-M4</t>
  </si>
  <si>
    <t>zebra_acsr_gz_greased_pre1977_l.wir</t>
  </si>
  <si>
    <t>WHI S/S</t>
  </si>
  <si>
    <t>52(RDF-WHI A)</t>
  </si>
  <si>
    <t>WRK2 S/S</t>
  </si>
  <si>
    <t>7_3-05_scac_greased_l.wir</t>
  </si>
  <si>
    <t>chukar_nz_acsr_ac_greased_04092013_l.wir</t>
  </si>
  <si>
    <t>'All'</t>
  </si>
  <si>
    <t>17.07.23</t>
  </si>
  <si>
    <t>JW reviewed GP setup - new structures not yet in this sheet.</t>
  </si>
  <si>
    <t>Strength  Factor  Climbing</t>
  </si>
  <si>
    <t>97a</t>
  </si>
  <si>
    <t>Gantry 2500yr RP</t>
  </si>
  <si>
    <t>T1-T3</t>
  </si>
  <si>
    <t>chukar_nz_acsr_ac_greased_04092013_l_downlead 6 degree creep.wir</t>
  </si>
  <si>
    <t>GIP_Standard</t>
  </si>
  <si>
    <t>C:\Users\ErtugrulKeles\Groundline\NZ-6585 TP Standard GIP - Documents\03 Operations\PLS-CAD Model\structures\tower\2DDHST\2dd-hst-ew2-str-tee-be5m-le9.0-9.0-9.0-9.0.tow</t>
  </si>
  <si>
    <t>2DD-HSTC Tower Data Input Rev A</t>
  </si>
  <si>
    <t>'All', 'Has DE', 'Not all sets DE', 'TOWER', 'TOWER has DE'</t>
  </si>
  <si>
    <t>C:\Users\ErtugrulKeles\Groundline\NZ-6585 TP Standard GIP - Documents\03 Operations\PLS-CAD Model\structures\gantry\220kV A-FRAME Gantry.tow</t>
  </si>
  <si>
    <t>'All', 'Has DE', 'All sets DE', 'TOWER', 'TOWER has 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</si>
</sst>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164" formatCode="0.000"/>
    <numFmt numFmtId="165" formatCode="0.0"/>
    <numFmt numFmtId="166" formatCode="0&quot;°&quot;"/>
    <numFmt numFmtId="167" formatCode="m\o\n\th\ d\,\ yyyy"/>
    <numFmt numFmtId="168" formatCode="#.00"/>
    <numFmt numFmtId="169" formatCode="#"/>
    <numFmt numFmtId="170" formatCode="#,##0;#,##0"/>
    <numFmt numFmtId="171" formatCode="###0;###0"/>
    <numFmt numFmtId="172" formatCode="###0.0;###0.0"/>
    <numFmt numFmtId="173" formatCode="0.0000"/>
    <numFmt numFmtId="174" formatCode="###0"/>
    <numFmt numFmtId="175" formatCode="0&quot;m&quot;"/>
    <numFmt numFmtId="176" formatCode="0&quot;°C&quot;"/>
    <numFmt numFmtId="177" formatCode="d/mm/yy;@"/>
  </numFmts>
  <fonts count="91"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0"/>
      <name val="Arial"/>
      <family val="2"/>
    </font>
    <font>
      <sz val="10"/>
      <name val="Arial"/>
      <family val="2"/>
    </font>
    <font>
      <b/>
      <sz val="12"/>
      <name val="Arial"/>
      <family val="2"/>
    </font>
    <font>
      <b/>
      <sz val="11"/>
      <color theme="1"/>
      <name val="Calibri"/>
      <family val="2"/>
      <scheme val="minor"/>
    </font>
    <font>
      <b/>
      <sz val="12"/>
      <color theme="1"/>
      <name val="Calibri"/>
      <family val="2"/>
      <scheme val="minor"/>
    </font>
    <font>
      <b/>
      <sz val="14"/>
      <name val="Calibri"/>
      <family val="2"/>
      <scheme val="minor"/>
    </font>
    <font>
      <sz val="12"/>
      <color theme="1"/>
      <name val="Calibri"/>
      <family val="2"/>
      <scheme val="minor"/>
    </font>
    <font>
      <b/>
      <sz val="10"/>
      <color theme="1"/>
      <name val="Calibri"/>
      <family val="2"/>
      <scheme val="minor"/>
    </font>
    <font>
      <sz val="12"/>
      <color indexed="8"/>
      <name val="Courier"/>
      <family val="3"/>
    </font>
    <font>
      <b/>
      <sz val="18"/>
      <color indexed="8"/>
      <name val="Courier"/>
      <family val="3"/>
    </font>
    <font>
      <b/>
      <sz val="12"/>
      <color indexed="8"/>
      <name val="Courier"/>
      <family val="3"/>
    </font>
    <font>
      <sz val="11"/>
      <name val="Arial"/>
      <family val="2"/>
    </font>
    <font>
      <b/>
      <sz val="10"/>
      <color theme="1"/>
      <name val="Book Antiqua"/>
      <family val="1"/>
    </font>
    <font>
      <sz val="10"/>
      <color theme="1"/>
      <name val="Book Antiqua"/>
      <family val="1"/>
    </font>
    <font>
      <sz val="10"/>
      <name val="Times New Roman"/>
      <family val="1"/>
      <charset val="204"/>
    </font>
    <font>
      <sz val="10"/>
      <color indexed="8"/>
      <name val="Arial"/>
      <family val="2"/>
    </font>
    <font>
      <b/>
      <sz val="10"/>
      <color indexed="8"/>
      <name val="Book Antiqua"/>
      <family val="1"/>
      <charset val="204"/>
    </font>
    <font>
      <sz val="10"/>
      <color indexed="8"/>
      <name val="Book Antiqua"/>
      <family val="1"/>
      <charset val="204"/>
    </font>
    <font>
      <sz val="10"/>
      <name val="Calibri"/>
      <family val="2"/>
    </font>
    <font>
      <b/>
      <sz val="10"/>
      <color rgb="FFFF0000"/>
      <name val="Arial"/>
      <family val="2"/>
    </font>
    <font>
      <b/>
      <sz val="7"/>
      <color indexed="8"/>
      <name val="Book Antiqua"/>
      <family val="1"/>
      <charset val="204"/>
    </font>
    <font>
      <b/>
      <sz val="11"/>
      <color indexed="8"/>
      <name val="Book Antiqua"/>
      <family val="1"/>
      <charset val="204"/>
    </font>
    <font>
      <b/>
      <sz val="10"/>
      <color indexed="8"/>
      <name val="Book Antiqua"/>
      <family val="1"/>
    </font>
    <font>
      <b/>
      <sz val="11"/>
      <color indexed="8"/>
      <name val="Arial"/>
      <family val="2"/>
    </font>
    <font>
      <b/>
      <sz val="10"/>
      <color indexed="8"/>
      <name val="Arial"/>
      <family val="2"/>
    </font>
    <font>
      <b/>
      <sz val="14"/>
      <name val="Arial"/>
      <family val="2"/>
    </font>
    <font>
      <b/>
      <sz val="10"/>
      <name val="Calibri"/>
      <family val="2"/>
      <scheme val="minor"/>
    </font>
    <font>
      <sz val="10"/>
      <name val="Calibri"/>
      <family val="2"/>
      <scheme val="minor"/>
    </font>
    <font>
      <i/>
      <sz val="10"/>
      <color rgb="FFFF0000"/>
      <name val="Calibri"/>
      <family val="2"/>
      <scheme val="minor"/>
    </font>
    <font>
      <b/>
      <vertAlign val="subscript"/>
      <sz val="11"/>
      <color indexed="8"/>
      <name val="Book Antiqua"/>
      <family val="1"/>
    </font>
    <font>
      <sz val="10"/>
      <name val="Arial"/>
      <family val="2"/>
    </font>
    <font>
      <vertAlign val="subscript"/>
      <sz val="10"/>
      <name val="Calibri"/>
      <family val="2"/>
      <scheme val="minor"/>
    </font>
    <font>
      <b/>
      <sz val="11"/>
      <color indexed="8"/>
      <name val="Book Antiqua"/>
      <family val="1"/>
    </font>
    <font>
      <sz val="10"/>
      <color theme="1"/>
      <name val="Calibri"/>
      <family val="2"/>
      <scheme val="minor"/>
    </font>
    <font>
      <b/>
      <vertAlign val="subscript"/>
      <sz val="10"/>
      <name val="Calibri"/>
      <family val="2"/>
      <scheme val="minor"/>
    </font>
    <font>
      <b/>
      <sz val="11"/>
      <name val="Calibri"/>
      <family val="2"/>
      <scheme val="minor"/>
    </font>
    <font>
      <sz val="12"/>
      <name val="Calibri"/>
      <family val="2"/>
      <scheme val="minor"/>
    </font>
    <font>
      <sz val="9"/>
      <color indexed="81"/>
      <name val="Tahoma"/>
      <family val="2"/>
    </font>
    <font>
      <b/>
      <sz val="9"/>
      <color indexed="81"/>
      <name val="Tahoma"/>
      <family val="2"/>
    </font>
    <font>
      <sz val="10"/>
      <color rgb="FFFF0000"/>
      <name val="Calibri"/>
      <family val="2"/>
      <scheme val="minor"/>
    </font>
    <font>
      <b/>
      <sz val="11"/>
      <color rgb="FFFF0000"/>
      <name val="Calibri"/>
      <family val="2"/>
      <scheme val="minor"/>
    </font>
    <font>
      <b/>
      <u/>
      <sz val="10"/>
      <name val="Calibri"/>
      <family val="2"/>
      <scheme val="minor"/>
    </font>
    <font>
      <sz val="11"/>
      <name val="Calibri"/>
      <family val="2"/>
      <scheme val="minor"/>
    </font>
    <font>
      <b/>
      <sz val="12"/>
      <name val="Calibri"/>
      <family val="2"/>
      <scheme val="minor"/>
    </font>
    <font>
      <b/>
      <sz val="12"/>
      <color rgb="FFFF0000"/>
      <name val="Arial"/>
      <family val="2"/>
    </font>
    <font>
      <b/>
      <sz val="11"/>
      <name val="Arial"/>
      <family val="2"/>
    </font>
    <font>
      <b/>
      <sz val="16"/>
      <name val="Arial"/>
      <family val="2"/>
    </font>
    <font>
      <b/>
      <sz val="11"/>
      <color rgb="FFFF0000"/>
      <name val="Arial"/>
      <family val="2"/>
    </font>
    <font>
      <b/>
      <sz val="16"/>
      <color theme="1"/>
      <name val="Calibri"/>
      <family val="2"/>
      <scheme val="minor"/>
    </font>
    <font>
      <b/>
      <sz val="18"/>
      <color theme="1"/>
      <name val="Calibri"/>
      <family val="2"/>
      <scheme val="minor"/>
    </font>
    <font>
      <b/>
      <sz val="18"/>
      <name val="Calibri"/>
      <family val="2"/>
      <scheme val="minor"/>
    </font>
    <font>
      <b/>
      <sz val="18"/>
      <name val="Arial"/>
      <family val="2"/>
    </font>
    <font>
      <b/>
      <i/>
      <sz val="11"/>
      <name val="Arial"/>
      <family val="2"/>
    </font>
    <font>
      <sz val="10"/>
      <name val="Symbol"/>
      <family val="1"/>
      <charset val="2"/>
    </font>
    <font>
      <b/>
      <u/>
      <sz val="16"/>
      <name val="Calibri"/>
      <family val="2"/>
      <scheme val="minor"/>
    </font>
    <font>
      <b/>
      <u/>
      <sz val="16"/>
      <color theme="1"/>
      <name val="Calibri"/>
      <family val="2"/>
      <scheme val="minor"/>
    </font>
    <font>
      <sz val="10"/>
      <color rgb="FFFF0000"/>
      <name val="Arial"/>
      <family val="2"/>
    </font>
    <font>
      <u/>
      <sz val="10"/>
      <color theme="10"/>
      <name val="Arial"/>
      <family val="2"/>
    </font>
    <font>
      <sz val="10"/>
      <color rgb="FFFF0000"/>
      <name val="Book Antiqua"/>
      <family val="1"/>
      <charset val="204"/>
    </font>
    <font>
      <sz val="10"/>
      <color rgb="FFFF0000"/>
      <name val="Book Antiqua"/>
      <family val="1"/>
    </font>
    <font>
      <b/>
      <sz val="9"/>
      <name val="Calibri"/>
      <family val="2"/>
      <scheme val="minor"/>
    </font>
    <font>
      <b/>
      <sz val="16"/>
      <color rgb="FFFF0000"/>
      <name val="Arial"/>
      <family val="2"/>
    </font>
    <font>
      <u/>
      <sz val="10"/>
      <name val="Calibri"/>
      <family val="2"/>
      <scheme val="minor"/>
    </font>
    <font>
      <sz val="11"/>
      <name val="Calibri"/>
      <family val="2"/>
    </font>
    <font>
      <b/>
      <sz val="8"/>
      <name val="Calibri"/>
      <family val="2"/>
      <scheme val="minor"/>
    </font>
    <font>
      <b/>
      <sz val="9"/>
      <color indexed="10"/>
      <name val="Tahoma"/>
      <family val="2"/>
    </font>
    <font>
      <sz val="9"/>
      <name val="Arial"/>
      <family val="2"/>
    </font>
    <font>
      <sz val="10"/>
      <color rgb="FF44546A"/>
      <name val="Arial"/>
      <family val="2"/>
    </font>
    <font>
      <i/>
      <sz val="10"/>
      <color rgb="FF44546A"/>
      <name val="Arial"/>
      <family val="2"/>
    </font>
    <font>
      <sz val="10"/>
      <color rgb="FF3333FF"/>
      <name val="Tahoma"/>
      <family val="2"/>
    </font>
    <font>
      <b/>
      <sz val="10"/>
      <color rgb="FF3333FF"/>
      <name val="Tahoma"/>
      <family val="2"/>
    </font>
    <font>
      <sz val="10"/>
      <name val="Tahoma"/>
      <family val="2"/>
    </font>
    <font>
      <b/>
      <sz val="10"/>
      <color rgb="FF0070C0"/>
      <name val="Tahoma"/>
      <family val="2"/>
    </font>
    <font>
      <b/>
      <u/>
      <sz val="11"/>
      <name val="Arial"/>
      <family val="2"/>
    </font>
    <font>
      <vertAlign val="subscript"/>
      <sz val="10"/>
      <name val="Arial"/>
      <family val="2"/>
    </font>
    <font>
      <i/>
      <sz val="10"/>
      <name val="Arial"/>
      <family val="2"/>
    </font>
    <font>
      <sz val="11"/>
      <color rgb="FFFF0000"/>
      <name val="Calibri"/>
      <family val="2"/>
      <scheme val="minor"/>
    </font>
    <font>
      <u/>
      <sz val="11"/>
      <color theme="10"/>
      <name val="Calibri"/>
      <family val="2"/>
      <scheme val="minor"/>
    </font>
    <font>
      <b/>
      <u/>
      <sz val="10"/>
      <color rgb="FFFF0000"/>
      <name val="Calibri"/>
      <family val="2"/>
      <scheme val="minor"/>
    </font>
    <font>
      <sz val="6"/>
      <name val="Calibri"/>
      <family val="2"/>
      <scheme val="minor"/>
    </font>
    <font>
      <b/>
      <sz val="9"/>
      <color theme="1"/>
      <name val="Calibri"/>
      <family val="2"/>
      <scheme val="minor"/>
    </font>
    <font>
      <sz val="9"/>
      <color theme="1"/>
      <name val="Calibri"/>
      <family val="2"/>
      <scheme val="minor"/>
    </font>
    <font>
      <sz val="18"/>
      <color rgb="FFFF0000"/>
      <name val="Calibri"/>
      <family val="2"/>
      <scheme val="minor"/>
    </font>
    <font>
      <b/>
      <sz val="12"/>
      <color rgb="FFFF0000"/>
      <name val="Calibri"/>
      <family val="2"/>
      <scheme val="minor"/>
    </font>
    <font>
      <b/>
      <sz val="8"/>
      <name val="Arial"/>
      <family val="2"/>
    </font>
    <font>
      <sz val="8"/>
      <name val="Arial"/>
      <family val="2"/>
    </font>
  </fonts>
  <fills count="25">
    <fill>
      <patternFill patternType="none"/>
    </fill>
    <fill>
      <patternFill patternType="gray125"/>
    </fill>
    <fill>
      <patternFill patternType="solid">
        <fgColor rgb="FFFFFF00"/>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rgb="FF00FF00"/>
        <bgColor indexed="64"/>
      </patternFill>
    </fill>
    <fill>
      <patternFill patternType="solid">
        <fgColor rgb="FF92D050"/>
        <bgColor indexed="64"/>
      </patternFill>
    </fill>
    <fill>
      <patternFill patternType="solid">
        <fgColor rgb="FFFFC000"/>
        <bgColor indexed="64"/>
      </patternFill>
    </fill>
    <fill>
      <patternFill patternType="solid">
        <fgColor theme="9" tint="0.39997558519241921"/>
        <bgColor indexed="64"/>
      </patternFill>
    </fill>
    <fill>
      <patternFill patternType="solid">
        <fgColor theme="0" tint="-0.249977111117893"/>
        <bgColor indexed="64"/>
      </patternFill>
    </fill>
    <fill>
      <patternFill patternType="solid">
        <fgColor theme="6" tint="0.39997558519241921"/>
        <bgColor indexed="64"/>
      </patternFill>
    </fill>
    <fill>
      <patternFill patternType="solid">
        <fgColor theme="6" tint="0.39994506668294322"/>
        <bgColor indexed="64"/>
      </patternFill>
    </fill>
    <fill>
      <patternFill patternType="solid">
        <fgColor theme="5" tint="0.39994506668294322"/>
        <bgColor indexed="64"/>
      </patternFill>
    </fill>
    <fill>
      <patternFill patternType="solid">
        <fgColor theme="1"/>
        <bgColor indexed="64"/>
      </patternFill>
    </fill>
    <fill>
      <patternFill patternType="solid">
        <fgColor theme="9" tint="-0.24994659260841701"/>
        <bgColor indexed="64"/>
      </patternFill>
    </fill>
    <fill>
      <patternFill patternType="solid">
        <fgColor theme="8" tint="0.39997558519241921"/>
        <bgColor indexed="64"/>
      </patternFill>
    </fill>
    <fill>
      <patternFill patternType="solid">
        <fgColor theme="8" tint="0.59996337778862885"/>
        <bgColor indexed="64"/>
      </patternFill>
    </fill>
    <fill>
      <patternFill patternType="solid">
        <fgColor theme="5" tint="0.59996337778862885"/>
        <bgColor indexed="64"/>
      </patternFill>
    </fill>
    <fill>
      <patternFill patternType="solid">
        <fgColor theme="5" tint="-0.24994659260841701"/>
        <bgColor indexed="64"/>
      </patternFill>
    </fill>
    <fill>
      <patternFill patternType="solid">
        <fgColor theme="7" tint="0.59996337778862885"/>
        <bgColor indexed="64"/>
      </patternFill>
    </fill>
    <fill>
      <patternFill patternType="solid">
        <fgColor rgb="FFFF0000"/>
        <bgColor indexed="64"/>
      </patternFill>
    </fill>
    <fill>
      <patternFill patternType="solid">
        <fgColor theme="0" tint="-0.14996795556505021"/>
        <bgColor indexed="64"/>
      </patternFill>
    </fill>
    <fill>
      <patternFill patternType="solid">
        <fgColor rgb="FF00B0F0"/>
        <bgColor indexed="64"/>
      </patternFill>
    </fill>
    <fill>
      <patternFill patternType="solid">
        <fgColor rgb="FF7030A0"/>
        <bgColor indexed="64"/>
      </patternFill>
    </fill>
    <fill>
      <patternFill patternType="solid">
        <fgColor rgb="FFFF3399"/>
        <bgColor indexed="64"/>
      </patternFill>
    </fill>
  </fills>
  <borders count="73">
    <border>
      <left/>
      <right/>
      <top/>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ck">
        <color auto="1"/>
      </left>
      <right style="thin">
        <color auto="1"/>
      </right>
      <top style="thick">
        <color auto="1"/>
      </top>
      <bottom style="thin">
        <color auto="1"/>
      </bottom>
      <diagonal/>
    </border>
    <border>
      <left style="thin">
        <color auto="1"/>
      </left>
      <right style="thin">
        <color auto="1"/>
      </right>
      <top style="thick">
        <color auto="1"/>
      </top>
      <bottom style="thin">
        <color auto="1"/>
      </bottom>
      <diagonal/>
    </border>
    <border>
      <left style="thin">
        <color auto="1"/>
      </left>
      <right style="thick">
        <color auto="1"/>
      </right>
      <top style="thick">
        <color auto="1"/>
      </top>
      <bottom style="thin">
        <color auto="1"/>
      </bottom>
      <diagonal/>
    </border>
    <border>
      <left style="thick">
        <color auto="1"/>
      </left>
      <right style="thin">
        <color auto="1"/>
      </right>
      <top style="thin">
        <color auto="1"/>
      </top>
      <bottom style="thin">
        <color auto="1"/>
      </bottom>
      <diagonal/>
    </border>
    <border>
      <left style="thin">
        <color auto="1"/>
      </left>
      <right style="thick">
        <color auto="1"/>
      </right>
      <top style="thin">
        <color auto="1"/>
      </top>
      <bottom style="thin">
        <color auto="1"/>
      </bottom>
      <diagonal/>
    </border>
    <border>
      <left style="thick">
        <color auto="1"/>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style="thin">
        <color auto="1"/>
      </left>
      <right style="thick">
        <color auto="1"/>
      </right>
      <top style="thin">
        <color auto="1"/>
      </top>
      <bottom style="thick">
        <color auto="1"/>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style="thin">
        <color indexed="64"/>
      </bottom>
      <diagonal/>
    </border>
    <border>
      <left/>
      <right style="thick">
        <color auto="1"/>
      </right>
      <top/>
      <bottom style="thin">
        <color indexed="64"/>
      </bottom>
      <diagonal/>
    </border>
    <border>
      <left style="thin">
        <color indexed="64"/>
      </left>
      <right/>
      <top/>
      <bottom style="thin">
        <color indexed="64"/>
      </bottom>
      <diagonal/>
    </border>
    <border>
      <left style="thick">
        <color auto="1"/>
      </left>
      <right/>
      <top style="thin">
        <color auto="1"/>
      </top>
      <bottom style="thin">
        <color auto="1"/>
      </bottom>
      <diagonal/>
    </border>
    <border>
      <left/>
      <right style="thick">
        <color auto="1"/>
      </right>
      <top style="thin">
        <color auto="1"/>
      </top>
      <bottom style="thin">
        <color auto="1"/>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bottom style="thin">
        <color indexed="64"/>
      </bottom>
      <diagonal/>
    </border>
    <border>
      <left style="thick">
        <color auto="1"/>
      </left>
      <right/>
      <top style="thick">
        <color auto="1"/>
      </top>
      <bottom style="thick">
        <color auto="1"/>
      </bottom>
      <diagonal/>
    </border>
    <border>
      <left/>
      <right style="thick">
        <color auto="1"/>
      </right>
      <top style="thick">
        <color auto="1"/>
      </top>
      <bottom style="thick">
        <color auto="1"/>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diagonalDown="1">
      <left style="thin">
        <color auto="1"/>
      </left>
      <right style="thin">
        <color auto="1"/>
      </right>
      <top style="thin">
        <color auto="1"/>
      </top>
      <bottom style="thin">
        <color auto="1"/>
      </bottom>
      <diagonal style="thin">
        <color auto="1"/>
      </diagonal>
    </border>
    <border>
      <left/>
      <right/>
      <top style="medium">
        <color indexed="64"/>
      </top>
      <bottom style="thin">
        <color indexed="64"/>
      </bottom>
      <diagonal/>
    </border>
    <border>
      <left style="thin">
        <color indexed="64"/>
      </left>
      <right/>
      <top style="medium">
        <color indexed="64"/>
      </top>
      <bottom style="thin">
        <color auto="1"/>
      </bottom>
      <diagonal/>
    </border>
    <border>
      <left/>
      <right style="thin">
        <color indexed="64"/>
      </right>
      <top style="thin">
        <color auto="1"/>
      </top>
      <bottom style="medium">
        <color auto="1"/>
      </bottom>
      <diagonal/>
    </border>
    <border>
      <left style="thin">
        <color auto="1"/>
      </left>
      <right/>
      <top style="thin">
        <color auto="1"/>
      </top>
      <bottom style="medium">
        <color auto="1"/>
      </bottom>
      <diagonal/>
    </border>
    <border>
      <left/>
      <right style="thin">
        <color auto="1"/>
      </right>
      <top/>
      <bottom/>
      <diagonal/>
    </border>
    <border>
      <left/>
      <right/>
      <top style="thin">
        <color auto="1"/>
      </top>
      <bottom/>
      <diagonal/>
    </border>
    <border>
      <left style="thin">
        <color indexed="64"/>
      </left>
      <right/>
      <top/>
      <bottom style="medium">
        <color indexed="64"/>
      </bottom>
      <diagonal/>
    </border>
    <border>
      <left/>
      <right/>
      <top/>
      <bottom style="medium">
        <color indexed="64"/>
      </bottom>
      <diagonal/>
    </border>
  </borders>
  <cellStyleXfs count="13">
    <xf numFmtId="0" fontId="0" fillId="0" borderId="0"/>
    <xf numFmtId="0" fontId="4" fillId="0" borderId="0"/>
    <xf numFmtId="167" fontId="13" fillId="0" borderId="0">
      <protection locked="0"/>
    </xf>
    <xf numFmtId="168" fontId="13" fillId="0" borderId="0">
      <protection locked="0"/>
    </xf>
    <xf numFmtId="169" fontId="14" fillId="0" borderId="0">
      <protection locked="0"/>
    </xf>
    <xf numFmtId="169" fontId="15" fillId="0" borderId="0">
      <protection locked="0"/>
    </xf>
    <xf numFmtId="9" fontId="16" fillId="0" borderId="0" applyFont="0" applyFill="0" applyBorder="0" applyAlignment="0" applyProtection="0"/>
    <xf numFmtId="0" fontId="6" fillId="0" borderId="0"/>
    <xf numFmtId="9" fontId="35" fillId="0" borderId="0" applyFont="0" applyFill="0" applyBorder="0" applyAlignment="0" applyProtection="0"/>
    <xf numFmtId="0" fontId="3" fillId="0" borderId="0"/>
    <xf numFmtId="0" fontId="6" fillId="0" borderId="0"/>
    <xf numFmtId="0" fontId="62" fillId="0" borderId="0" applyNumberFormat="0" applyFill="0" applyBorder="0" applyAlignment="0" applyProtection="0"/>
    <xf numFmtId="0" fontId="2" fillId="0" borderId="0"/>
  </cellStyleXfs>
  <cellXfs count="643">
    <xf numFmtId="0" fontId="0" fillId="0" borderId="0" xfId="0"/>
    <xf numFmtId="0" fontId="0" fillId="0" borderId="0" xfId="0" applyAlignment="1">
      <alignment wrapText="1"/>
    </xf>
    <xf numFmtId="0" fontId="0" fillId="0" borderId="0" xfId="0" applyAlignment="1">
      <alignment horizontal="right"/>
    </xf>
    <xf numFmtId="0" fontId="6" fillId="0" borderId="0" xfId="0" applyFont="1"/>
    <xf numFmtId="0" fontId="8" fillId="0" borderId="0" xfId="0" applyFont="1"/>
    <xf numFmtId="0" fontId="0" fillId="0" borderId="25" xfId="0" applyBorder="1" applyAlignment="1">
      <alignment horizontal="center" vertical="center"/>
    </xf>
    <xf numFmtId="0" fontId="0" fillId="0" borderId="0" xfId="0" applyAlignment="1">
      <alignment horizontal="center" vertical="center"/>
    </xf>
    <xf numFmtId="0" fontId="0" fillId="3" borderId="0" xfId="0" applyFill="1" applyAlignment="1">
      <alignment horizontal="center"/>
    </xf>
    <xf numFmtId="0" fontId="11" fillId="0" borderId="28" xfId="0" applyFont="1" applyBorder="1" applyAlignment="1">
      <alignment horizontal="center" vertical="center"/>
    </xf>
    <xf numFmtId="2" fontId="0" fillId="0" borderId="0" xfId="0" applyNumberFormat="1"/>
    <xf numFmtId="0" fontId="17" fillId="0" borderId="26" xfId="0" applyFont="1" applyBorder="1" applyAlignment="1">
      <alignment horizontal="center"/>
    </xf>
    <xf numFmtId="164" fontId="0" fillId="0" borderId="0" xfId="0" applyNumberFormat="1" applyAlignment="1">
      <alignment horizontal="center"/>
    </xf>
    <xf numFmtId="164" fontId="6" fillId="0" borderId="0" xfId="0" applyNumberFormat="1" applyFont="1" applyAlignment="1">
      <alignment horizontal="center"/>
    </xf>
    <xf numFmtId="0" fontId="19" fillId="0" borderId="0" xfId="0" applyFont="1" applyAlignment="1">
      <alignment vertical="top" wrapText="1"/>
    </xf>
    <xf numFmtId="0" fontId="22" fillId="0" borderId="34" xfId="0" applyFont="1" applyBorder="1" applyAlignment="1">
      <alignment horizontal="left" vertical="top" wrapText="1"/>
    </xf>
    <xf numFmtId="0" fontId="21" fillId="0" borderId="34" xfId="0" applyFont="1" applyBorder="1" applyAlignment="1">
      <alignment horizontal="left" vertical="top" wrapText="1"/>
    </xf>
    <xf numFmtId="0" fontId="21" fillId="0" borderId="35" xfId="0" applyFont="1" applyBorder="1" applyAlignment="1">
      <alignment vertical="top" wrapText="1"/>
    </xf>
    <xf numFmtId="0" fontId="21" fillId="5" borderId="31" xfId="0" applyFont="1" applyFill="1" applyBorder="1" applyAlignment="1">
      <alignment vertical="top" wrapText="1"/>
    </xf>
    <xf numFmtId="0" fontId="21" fillId="5" borderId="0" xfId="0" applyFont="1" applyFill="1" applyAlignment="1">
      <alignment vertical="top" wrapText="1"/>
    </xf>
    <xf numFmtId="0" fontId="6" fillId="0" borderId="0" xfId="0" applyFont="1" applyAlignment="1">
      <alignment horizontal="center" vertical="center" wrapText="1"/>
    </xf>
    <xf numFmtId="171" fontId="20" fillId="0" borderId="25" xfId="0" applyNumberFormat="1" applyFont="1" applyBorder="1" applyAlignment="1">
      <alignment horizontal="center" vertical="center" wrapText="1"/>
    </xf>
    <xf numFmtId="0" fontId="6" fillId="0" borderId="0" xfId="0" applyFont="1" applyAlignment="1">
      <alignment horizontal="right" vertical="center"/>
    </xf>
    <xf numFmtId="172" fontId="20" fillId="0" borderId="25" xfId="0" applyNumberFormat="1" applyFont="1" applyBorder="1" applyAlignment="1">
      <alignment horizontal="center" vertical="center" wrapText="1"/>
    </xf>
    <xf numFmtId="0" fontId="22" fillId="0" borderId="25" xfId="0" applyFont="1" applyBorder="1" applyAlignment="1">
      <alignment horizontal="center" vertical="center"/>
    </xf>
    <xf numFmtId="0" fontId="6" fillId="0" borderId="0" xfId="0" applyFont="1" applyAlignment="1">
      <alignment horizontal="right"/>
    </xf>
    <xf numFmtId="0" fontId="0" fillId="6" borderId="25" xfId="0" applyFill="1" applyBorder="1" applyAlignment="1">
      <alignment horizontal="center" vertical="center"/>
    </xf>
    <xf numFmtId="0" fontId="0" fillId="7" borderId="25" xfId="0" applyFill="1" applyBorder="1" applyAlignment="1">
      <alignment horizontal="center" vertical="center"/>
    </xf>
    <xf numFmtId="2" fontId="6" fillId="0" borderId="25" xfId="0" applyNumberFormat="1" applyFont="1" applyBorder="1" applyAlignment="1">
      <alignment horizontal="center" vertical="center"/>
    </xf>
    <xf numFmtId="1" fontId="6" fillId="0" borderId="25" xfId="0" applyNumberFormat="1" applyFont="1" applyBorder="1" applyAlignment="1">
      <alignment horizontal="center" vertical="center"/>
    </xf>
    <xf numFmtId="0" fontId="6" fillId="0" borderId="25" xfId="0" applyFont="1" applyBorder="1" applyAlignment="1">
      <alignment horizontal="center"/>
    </xf>
    <xf numFmtId="0" fontId="5" fillId="0" borderId="0" xfId="0" applyFont="1"/>
    <xf numFmtId="0" fontId="23" fillId="0" borderId="0" xfId="0" applyFont="1"/>
    <xf numFmtId="0" fontId="6" fillId="0" borderId="25" xfId="0" applyFont="1" applyBorder="1" applyAlignment="1">
      <alignment horizontal="center" vertical="center"/>
    </xf>
    <xf numFmtId="1" fontId="0" fillId="0" borderId="0" xfId="0" applyNumberFormat="1" applyAlignment="1">
      <alignment horizontal="center"/>
    </xf>
    <xf numFmtId="0" fontId="0" fillId="4" borderId="0" xfId="0" applyFill="1" applyAlignment="1">
      <alignment horizontal="center" vertical="center"/>
    </xf>
    <xf numFmtId="171" fontId="0" fillId="4" borderId="0" xfId="0" applyNumberFormat="1" applyFill="1" applyAlignment="1">
      <alignment horizontal="center"/>
    </xf>
    <xf numFmtId="1" fontId="0" fillId="4" borderId="0" xfId="0" applyNumberFormat="1" applyFill="1" applyAlignment="1">
      <alignment horizontal="center"/>
    </xf>
    <xf numFmtId="0" fontId="5" fillId="0" borderId="25" xfId="0" applyFont="1" applyBorder="1" applyAlignment="1">
      <alignment horizontal="center"/>
    </xf>
    <xf numFmtId="0" fontId="6" fillId="3" borderId="0" xfId="0" applyFont="1" applyFill="1" applyAlignment="1">
      <alignment horizontal="center"/>
    </xf>
    <xf numFmtId="0" fontId="0" fillId="0" borderId="42" xfId="0" applyBorder="1" applyAlignment="1">
      <alignment horizontal="center" vertical="center"/>
    </xf>
    <xf numFmtId="0" fontId="0" fillId="0" borderId="43" xfId="0" applyBorder="1" applyAlignment="1">
      <alignment horizontal="center" vertical="center"/>
    </xf>
    <xf numFmtId="0" fontId="0" fillId="6" borderId="42" xfId="0" applyFill="1" applyBorder="1" applyAlignment="1">
      <alignment horizontal="center" vertical="center"/>
    </xf>
    <xf numFmtId="0" fontId="0" fillId="6" borderId="43" xfId="0" applyFill="1" applyBorder="1" applyAlignment="1">
      <alignment horizontal="center" vertical="center"/>
    </xf>
    <xf numFmtId="0" fontId="0" fillId="7" borderId="42" xfId="0" applyFill="1" applyBorder="1" applyAlignment="1">
      <alignment horizontal="center" vertical="center"/>
    </xf>
    <xf numFmtId="0" fontId="0" fillId="7" borderId="43" xfId="0" applyFill="1" applyBorder="1" applyAlignment="1">
      <alignment horizontal="center" vertical="center"/>
    </xf>
    <xf numFmtId="0" fontId="5" fillId="0" borderId="42" xfId="0" applyFont="1" applyBorder="1" applyAlignment="1">
      <alignment horizontal="center"/>
    </xf>
    <xf numFmtId="0" fontId="5" fillId="0" borderId="43" xfId="0" applyFont="1" applyBorder="1" applyAlignment="1">
      <alignment horizontal="center"/>
    </xf>
    <xf numFmtId="0" fontId="6" fillId="0" borderId="44" xfId="0" applyFont="1" applyBorder="1" applyAlignment="1">
      <alignment horizontal="center"/>
    </xf>
    <xf numFmtId="166" fontId="5" fillId="0" borderId="45" xfId="0" applyNumberFormat="1" applyFont="1" applyBorder="1" applyAlignment="1">
      <alignment horizontal="center"/>
    </xf>
    <xf numFmtId="0" fontId="5" fillId="0" borderId="46" xfId="0" applyFont="1" applyBorder="1" applyAlignment="1">
      <alignment horizontal="center"/>
    </xf>
    <xf numFmtId="2" fontId="6" fillId="0" borderId="42" xfId="0" applyNumberFormat="1" applyFont="1" applyBorder="1" applyAlignment="1">
      <alignment horizontal="center" vertical="center"/>
    </xf>
    <xf numFmtId="2" fontId="6" fillId="0" borderId="43" xfId="0" applyNumberFormat="1" applyFont="1" applyBorder="1" applyAlignment="1">
      <alignment horizontal="center" vertical="center"/>
    </xf>
    <xf numFmtId="1" fontId="6" fillId="0" borderId="42" xfId="0" applyNumberFormat="1" applyFont="1" applyBorder="1" applyAlignment="1">
      <alignment horizontal="center" vertical="center"/>
    </xf>
    <xf numFmtId="1" fontId="6" fillId="0" borderId="43" xfId="0" applyNumberFormat="1" applyFont="1" applyBorder="1" applyAlignment="1">
      <alignment horizontal="center" vertical="center"/>
    </xf>
    <xf numFmtId="0" fontId="6" fillId="0" borderId="42" xfId="0" applyFont="1" applyBorder="1" applyAlignment="1">
      <alignment horizontal="center" vertical="center"/>
    </xf>
    <xf numFmtId="0" fontId="6" fillId="0" borderId="43" xfId="0" applyFont="1" applyBorder="1" applyAlignment="1">
      <alignment horizontal="center" vertical="center"/>
    </xf>
    <xf numFmtId="0" fontId="6" fillId="0" borderId="39" xfId="0" applyFont="1" applyBorder="1" applyAlignment="1">
      <alignment horizontal="center"/>
    </xf>
    <xf numFmtId="0" fontId="6" fillId="0" borderId="40" xfId="0" applyFont="1" applyBorder="1" applyAlignment="1">
      <alignment horizontal="center"/>
    </xf>
    <xf numFmtId="0" fontId="6" fillId="0" borderId="41" xfId="0" applyFont="1" applyBorder="1" applyAlignment="1">
      <alignment horizontal="center"/>
    </xf>
    <xf numFmtId="0" fontId="0" fillId="0" borderId="44" xfId="0" applyBorder="1" applyAlignment="1">
      <alignment horizontal="center" vertical="center"/>
    </xf>
    <xf numFmtId="0" fontId="0" fillId="0" borderId="45" xfId="0" applyBorder="1" applyAlignment="1">
      <alignment horizontal="center" vertical="center"/>
    </xf>
    <xf numFmtId="0" fontId="0" fillId="0" borderId="46" xfId="0" applyBorder="1" applyAlignment="1">
      <alignment horizontal="center" vertical="center"/>
    </xf>
    <xf numFmtId="2" fontId="6" fillId="0" borderId="44" xfId="0" applyNumberFormat="1" applyFont="1" applyBorder="1" applyAlignment="1">
      <alignment horizontal="center" vertical="center"/>
    </xf>
    <xf numFmtId="2" fontId="6" fillId="0" borderId="45" xfId="0" applyNumberFormat="1" applyFont="1" applyBorder="1" applyAlignment="1">
      <alignment horizontal="center" vertical="center"/>
    </xf>
    <xf numFmtId="2" fontId="6" fillId="0" borderId="46" xfId="0" applyNumberFormat="1" applyFont="1" applyBorder="1" applyAlignment="1">
      <alignment horizontal="center" vertical="center"/>
    </xf>
    <xf numFmtId="0" fontId="6" fillId="3" borderId="0" xfId="0" applyFont="1" applyFill="1"/>
    <xf numFmtId="0" fontId="18" fillId="0" borderId="0" xfId="0" applyFont="1" applyAlignment="1">
      <alignment horizontal="center"/>
    </xf>
    <xf numFmtId="0" fontId="21" fillId="5" borderId="31" xfId="0" applyFont="1" applyFill="1" applyBorder="1" applyAlignment="1">
      <alignment vertical="top"/>
    </xf>
    <xf numFmtId="0" fontId="18" fillId="0" borderId="26" xfId="0" applyFont="1" applyBorder="1" applyAlignment="1">
      <alignment horizontal="center"/>
    </xf>
    <xf numFmtId="0" fontId="18" fillId="0" borderId="30" xfId="0" applyFont="1" applyBorder="1" applyAlignment="1">
      <alignment horizontal="center"/>
    </xf>
    <xf numFmtId="0" fontId="17" fillId="0" borderId="21" xfId="0" applyFont="1" applyBorder="1" applyAlignment="1">
      <alignment horizontal="center"/>
    </xf>
    <xf numFmtId="0" fontId="18" fillId="0" borderId="52" xfId="0" applyFont="1" applyBorder="1" applyAlignment="1">
      <alignment horizontal="center"/>
    </xf>
    <xf numFmtId="0" fontId="6" fillId="0" borderId="25" xfId="0" applyFont="1" applyBorder="1" applyAlignment="1">
      <alignment horizontal="centerContinuous"/>
    </xf>
    <xf numFmtId="0" fontId="0" fillId="0" borderId="25" xfId="0" applyBorder="1" applyAlignment="1">
      <alignment horizontal="centerContinuous"/>
    </xf>
    <xf numFmtId="164" fontId="0" fillId="0" borderId="25" xfId="0" applyNumberFormat="1" applyBorder="1" applyAlignment="1">
      <alignment horizontal="center"/>
    </xf>
    <xf numFmtId="164" fontId="6" fillId="0" borderId="25" xfId="0" applyNumberFormat="1" applyFont="1" applyBorder="1" applyAlignment="1">
      <alignment horizontal="center"/>
    </xf>
    <xf numFmtId="0" fontId="26" fillId="0" borderId="35" xfId="0" applyFont="1" applyBorder="1" applyAlignment="1">
      <alignment horizontal="center" vertical="top" wrapText="1"/>
    </xf>
    <xf numFmtId="0" fontId="0" fillId="0" borderId="34" xfId="0" applyBorder="1" applyAlignment="1">
      <alignment horizontal="centerContinuous"/>
    </xf>
    <xf numFmtId="0" fontId="5" fillId="3" borderId="34" xfId="0" applyFont="1" applyFill="1" applyBorder="1" applyAlignment="1">
      <alignment horizontal="center" vertical="center"/>
    </xf>
    <xf numFmtId="171" fontId="28" fillId="0" borderId="34" xfId="0" applyNumberFormat="1" applyFont="1" applyBorder="1" applyAlignment="1">
      <alignment horizontal="center" vertical="center" wrapText="1"/>
    </xf>
    <xf numFmtId="0" fontId="26" fillId="0" borderId="34" xfId="0" applyFont="1" applyBorder="1" applyAlignment="1">
      <alignment horizontal="center" vertical="center" wrapText="1"/>
    </xf>
    <xf numFmtId="171" fontId="20" fillId="0" borderId="34" xfId="0" applyNumberFormat="1" applyFont="1" applyBorder="1" applyAlignment="1">
      <alignment horizontal="center" vertical="center" wrapText="1"/>
    </xf>
    <xf numFmtId="173" fontId="18" fillId="0" borderId="26" xfId="0" applyNumberFormat="1" applyFont="1" applyBorder="1" applyAlignment="1">
      <alignment horizontal="center"/>
    </xf>
    <xf numFmtId="0" fontId="0" fillId="0" borderId="34" xfId="0" applyBorder="1" applyAlignment="1">
      <alignment horizontal="center" vertical="center" wrapText="1"/>
    </xf>
    <xf numFmtId="0" fontId="27" fillId="0" borderId="34" xfId="0" applyFont="1" applyBorder="1" applyAlignment="1">
      <alignment horizontal="center" vertical="center" wrapText="1"/>
    </xf>
    <xf numFmtId="0" fontId="0" fillId="0" borderId="34" xfId="0" applyBorder="1" applyAlignment="1">
      <alignment horizontal="center" vertical="center"/>
    </xf>
    <xf numFmtId="0" fontId="21" fillId="0" borderId="34" xfId="0" applyFont="1" applyBorder="1" applyAlignment="1">
      <alignment horizontal="center" vertical="top"/>
    </xf>
    <xf numFmtId="0" fontId="21" fillId="0" borderId="0" xfId="0" applyFont="1" applyAlignment="1">
      <alignment horizontal="left" vertical="top" wrapText="1"/>
    </xf>
    <xf numFmtId="0" fontId="0" fillId="0" borderId="25" xfId="0" applyBorder="1" applyProtection="1">
      <protection locked="0"/>
    </xf>
    <xf numFmtId="2" fontId="0" fillId="0" borderId="25" xfId="0" applyNumberFormat="1" applyBorder="1" applyProtection="1">
      <protection locked="0"/>
    </xf>
    <xf numFmtId="0" fontId="0" fillId="0" borderId="25" xfId="0" applyBorder="1" applyAlignment="1" applyProtection="1">
      <alignment horizontal="center"/>
      <protection locked="0"/>
    </xf>
    <xf numFmtId="0" fontId="6" fillId="0" borderId="25" xfId="0" applyFont="1" applyBorder="1" applyAlignment="1" applyProtection="1">
      <alignment horizontal="center"/>
      <protection locked="0"/>
    </xf>
    <xf numFmtId="165" fontId="0" fillId="0" borderId="25" xfId="0" applyNumberFormat="1" applyBorder="1" applyAlignment="1" applyProtection="1">
      <alignment horizontal="center"/>
      <protection locked="0"/>
    </xf>
    <xf numFmtId="165" fontId="0" fillId="0" borderId="25" xfId="0" applyNumberFormat="1" applyBorder="1" applyAlignment="1">
      <alignment horizontal="center"/>
    </xf>
    <xf numFmtId="11" fontId="0" fillId="0" borderId="25" xfId="0" applyNumberFormat="1" applyBorder="1" applyAlignment="1" applyProtection="1">
      <alignment horizontal="center"/>
      <protection locked="0"/>
    </xf>
    <xf numFmtId="2" fontId="0" fillId="0" borderId="25" xfId="0" applyNumberFormat="1" applyBorder="1" applyAlignment="1" applyProtection="1">
      <alignment horizontal="center"/>
      <protection locked="0"/>
    </xf>
    <xf numFmtId="0" fontId="7" fillId="0" borderId="0" xfId="0" applyFont="1"/>
    <xf numFmtId="0" fontId="30" fillId="0" borderId="0" xfId="0" applyFont="1"/>
    <xf numFmtId="0" fontId="0" fillId="0" borderId="15" xfId="0" applyBorder="1" applyAlignment="1">
      <alignment horizontal="center" vertical="center" wrapText="1"/>
    </xf>
    <xf numFmtId="0" fontId="0" fillId="0" borderId="8" xfId="0" applyBorder="1" applyAlignment="1">
      <alignment horizontal="center" vertical="center" wrapText="1"/>
    </xf>
    <xf numFmtId="0" fontId="6" fillId="0" borderId="8" xfId="0" applyFont="1" applyBorder="1" applyAlignment="1">
      <alignment horizontal="center" vertical="center" wrapText="1"/>
    </xf>
    <xf numFmtId="0" fontId="0" fillId="0" borderId="8" xfId="0" quotePrefix="1" applyBorder="1" applyAlignment="1">
      <alignment horizontal="center" vertical="center" wrapText="1"/>
    </xf>
    <xf numFmtId="0" fontId="6" fillId="0" borderId="11" xfId="0" applyFont="1" applyBorder="1" applyAlignment="1">
      <alignment horizontal="center" vertical="center" wrapText="1"/>
    </xf>
    <xf numFmtId="0" fontId="0" fillId="0" borderId="12" xfId="0" applyBorder="1" applyAlignment="1">
      <alignment horizontal="center" vertical="center"/>
    </xf>
    <xf numFmtId="0" fontId="0" fillId="0" borderId="13" xfId="0" applyBorder="1" applyAlignment="1">
      <alignment horizontal="center" vertical="center"/>
    </xf>
    <xf numFmtId="0" fontId="6" fillId="0" borderId="13" xfId="0" applyFont="1" applyBorder="1" applyAlignment="1">
      <alignment horizontal="center" vertical="center"/>
    </xf>
    <xf numFmtId="0" fontId="0" fillId="0" borderId="13" xfId="0" applyBorder="1" applyAlignment="1">
      <alignment horizontal="center" vertical="center" wrapText="1"/>
    </xf>
    <xf numFmtId="0" fontId="23" fillId="0" borderId="14" xfId="0" applyFont="1" applyBorder="1" applyAlignment="1">
      <alignment horizontal="center" vertical="center"/>
    </xf>
    <xf numFmtId="0" fontId="6" fillId="0" borderId="6" xfId="0" applyFont="1" applyBorder="1" applyProtection="1">
      <protection locked="0"/>
    </xf>
    <xf numFmtId="0" fontId="0" fillId="0" borderId="6" xfId="0" applyBorder="1" applyProtection="1">
      <protection locked="0"/>
    </xf>
    <xf numFmtId="2" fontId="0" fillId="0" borderId="6" xfId="0" applyNumberFormat="1" applyBorder="1" applyProtection="1">
      <protection locked="0"/>
    </xf>
    <xf numFmtId="0" fontId="0" fillId="0" borderId="9" xfId="0" applyBorder="1"/>
    <xf numFmtId="0" fontId="0" fillId="0" borderId="5" xfId="0" applyBorder="1" applyAlignment="1" applyProtection="1">
      <alignment horizontal="center"/>
      <protection locked="0"/>
    </xf>
    <xf numFmtId="0" fontId="0" fillId="0" borderId="3" xfId="0" applyBorder="1" applyAlignment="1">
      <alignment horizontal="center"/>
    </xf>
    <xf numFmtId="0" fontId="6" fillId="0" borderId="5" xfId="0" applyFont="1" applyBorder="1" applyAlignment="1" applyProtection="1">
      <alignment horizontal="center"/>
      <protection locked="0"/>
    </xf>
    <xf numFmtId="0" fontId="0" fillId="0" borderId="5" xfId="0" applyBorder="1" applyProtection="1">
      <protection locked="0"/>
    </xf>
    <xf numFmtId="0" fontId="0" fillId="0" borderId="3" xfId="0" applyBorder="1"/>
    <xf numFmtId="0" fontId="0" fillId="0" borderId="18" xfId="0" applyBorder="1" applyProtection="1">
      <protection locked="0"/>
    </xf>
    <xf numFmtId="0" fontId="0" fillId="0" borderId="7" xfId="0" applyBorder="1" applyProtection="1">
      <protection locked="0"/>
    </xf>
    <xf numFmtId="2" fontId="0" fillId="0" borderId="7" xfId="0" applyNumberFormat="1" applyBorder="1" applyProtection="1">
      <protection locked="0"/>
    </xf>
    <xf numFmtId="0" fontId="0" fillId="0" borderId="10" xfId="0" applyBorder="1"/>
    <xf numFmtId="0" fontId="6" fillId="0" borderId="17" xfId="0" applyFont="1" applyBorder="1" applyAlignment="1" applyProtection="1">
      <alignment horizontal="center"/>
      <protection locked="0"/>
    </xf>
    <xf numFmtId="0" fontId="32" fillId="0" borderId="0" xfId="0" applyFont="1"/>
    <xf numFmtId="0" fontId="6" fillId="0" borderId="0" xfId="0" applyFont="1" applyAlignment="1">
      <alignment horizontal="left" vertical="center"/>
    </xf>
    <xf numFmtId="0" fontId="5" fillId="3" borderId="25" xfId="0" applyFont="1" applyFill="1" applyBorder="1" applyAlignment="1">
      <alignment horizontal="center" vertical="center"/>
    </xf>
    <xf numFmtId="0" fontId="6" fillId="0" borderId="0" xfId="0" quotePrefix="1" applyFont="1"/>
    <xf numFmtId="0" fontId="6" fillId="0" borderId="0" xfId="0" applyFont="1" applyAlignment="1">
      <alignment horizontal="center" vertical="center"/>
    </xf>
    <xf numFmtId="0" fontId="23" fillId="0" borderId="0" xfId="0" applyFont="1" applyAlignment="1">
      <alignment horizontal="center" vertical="center"/>
    </xf>
    <xf numFmtId="0" fontId="26" fillId="0" borderId="35" xfId="0" applyFont="1" applyBorder="1" applyAlignment="1">
      <alignment horizontal="center" vertical="center" wrapText="1"/>
    </xf>
    <xf numFmtId="0" fontId="6" fillId="0" borderId="25" xfId="0" applyFont="1" applyBorder="1" applyAlignment="1">
      <alignment horizontal="centerContinuous" vertical="center"/>
    </xf>
    <xf numFmtId="0" fontId="6" fillId="3" borderId="25" xfId="0" applyFont="1" applyFill="1" applyBorder="1" applyAlignment="1">
      <alignment horizontal="center" vertical="center"/>
    </xf>
    <xf numFmtId="0" fontId="0" fillId="3" borderId="25" xfId="0" applyFill="1" applyBorder="1" applyAlignment="1">
      <alignment horizontal="center" vertical="center"/>
    </xf>
    <xf numFmtId="0" fontId="24" fillId="3" borderId="25" xfId="0" applyFont="1" applyFill="1" applyBorder="1" applyAlignment="1">
      <alignment horizontal="center" vertical="center"/>
    </xf>
    <xf numFmtId="0" fontId="21" fillId="0" borderId="25" xfId="0" applyFont="1" applyBorder="1" applyAlignment="1">
      <alignment horizontal="center" vertical="center"/>
    </xf>
    <xf numFmtId="0" fontId="19" fillId="0" borderId="25" xfId="0" applyFont="1" applyBorder="1" applyAlignment="1">
      <alignment horizontal="center" vertical="center" wrapText="1"/>
    </xf>
    <xf numFmtId="170" fontId="20" fillId="0" borderId="25" xfId="0" applyNumberFormat="1" applyFont="1" applyBorder="1" applyAlignment="1">
      <alignment horizontal="center" vertical="center" wrapText="1"/>
    </xf>
    <xf numFmtId="0" fontId="6" fillId="0" borderId="0" xfId="0" applyFont="1" applyAlignment="1">
      <alignment horizontal="center"/>
    </xf>
    <xf numFmtId="0" fontId="32" fillId="0" borderId="0" xfId="10" applyFont="1"/>
    <xf numFmtId="0" fontId="32" fillId="0" borderId="0" xfId="10" applyFont="1" applyAlignment="1">
      <alignment horizontal="center"/>
    </xf>
    <xf numFmtId="0" fontId="32" fillId="4" borderId="25" xfId="10" applyFont="1" applyFill="1" applyBorder="1" applyAlignment="1">
      <alignment horizontal="center"/>
    </xf>
    <xf numFmtId="165" fontId="32" fillId="4" borderId="25" xfId="10" applyNumberFormat="1" applyFont="1" applyFill="1" applyBorder="1" applyAlignment="1">
      <alignment horizontal="center"/>
    </xf>
    <xf numFmtId="0" fontId="32" fillId="0" borderId="0" xfId="10" quotePrefix="1" applyFont="1"/>
    <xf numFmtId="1" fontId="32" fillId="4" borderId="25" xfId="10" applyNumberFormat="1" applyFont="1" applyFill="1" applyBorder="1" applyAlignment="1">
      <alignment horizontal="center"/>
    </xf>
    <xf numFmtId="0" fontId="31" fillId="0" borderId="0" xfId="10" applyFont="1"/>
    <xf numFmtId="2" fontId="32" fillId="3" borderId="2" xfId="7" applyNumberFormat="1" applyFont="1" applyFill="1" applyBorder="1" applyAlignment="1">
      <alignment horizontal="center" vertical="center"/>
    </xf>
    <xf numFmtId="0" fontId="32" fillId="3" borderId="25" xfId="10" applyFont="1" applyFill="1" applyBorder="1" applyAlignment="1">
      <alignment horizontal="center"/>
    </xf>
    <xf numFmtId="0" fontId="31" fillId="0" borderId="25" xfId="10" applyFont="1" applyBorder="1" applyAlignment="1">
      <alignment horizontal="right" indent="1"/>
    </xf>
    <xf numFmtId="0" fontId="31" fillId="0" borderId="25" xfId="10" applyFont="1" applyBorder="1" applyAlignment="1">
      <alignment horizontal="center"/>
    </xf>
    <xf numFmtId="0" fontId="32" fillId="0" borderId="25" xfId="10" applyFont="1" applyBorder="1" applyAlignment="1">
      <alignment horizontal="center"/>
    </xf>
    <xf numFmtId="165" fontId="32" fillId="3" borderId="24" xfId="9" applyNumberFormat="1" applyFont="1" applyFill="1" applyBorder="1" applyAlignment="1">
      <alignment horizontal="center" vertical="center"/>
    </xf>
    <xf numFmtId="164" fontId="32" fillId="4" borderId="25" xfId="10" applyNumberFormat="1" applyFont="1" applyFill="1" applyBorder="1" applyAlignment="1">
      <alignment horizontal="center"/>
    </xf>
    <xf numFmtId="0" fontId="21" fillId="0" borderId="34" xfId="0" applyFont="1" applyBorder="1" applyAlignment="1">
      <alignment horizontal="center" vertical="top" wrapText="1"/>
    </xf>
    <xf numFmtId="171" fontId="29" fillId="0" borderId="34" xfId="0" applyNumberFormat="1" applyFont="1" applyBorder="1" applyAlignment="1">
      <alignment horizontal="center" vertical="top" wrapText="1"/>
    </xf>
    <xf numFmtId="0" fontId="21" fillId="0" borderId="34" xfId="0" applyFont="1" applyBorder="1" applyAlignment="1">
      <alignment vertical="center" wrapText="1"/>
    </xf>
    <xf numFmtId="0" fontId="21" fillId="0" borderId="34" xfId="0" applyFont="1" applyBorder="1" applyAlignment="1">
      <alignment vertical="top" wrapText="1"/>
    </xf>
    <xf numFmtId="0" fontId="26" fillId="0" borderId="34" xfId="0" applyFont="1" applyBorder="1" applyAlignment="1">
      <alignment vertical="top" wrapText="1"/>
    </xf>
    <xf numFmtId="0" fontId="22" fillId="0" borderId="34" xfId="0" applyFont="1" applyBorder="1" applyAlignment="1">
      <alignment vertical="top" wrapText="1"/>
    </xf>
    <xf numFmtId="171" fontId="29" fillId="0" borderId="34" xfId="0" applyNumberFormat="1" applyFont="1" applyBorder="1" applyAlignment="1">
      <alignment horizontal="center" wrapText="1"/>
    </xf>
    <xf numFmtId="0" fontId="19" fillId="0" borderId="34" xfId="0" applyFont="1" applyBorder="1" applyAlignment="1">
      <alignment vertical="top" wrapText="1"/>
    </xf>
    <xf numFmtId="0" fontId="32" fillId="0" borderId="25" xfId="10" applyFont="1" applyBorder="1" applyAlignment="1">
      <alignment horizontal="right"/>
    </xf>
    <xf numFmtId="0" fontId="32" fillId="0" borderId="0" xfId="10" applyFont="1" applyAlignment="1">
      <alignment horizontal="right"/>
    </xf>
    <xf numFmtId="0" fontId="31" fillId="0" borderId="25" xfId="10" applyFont="1" applyBorder="1" applyAlignment="1">
      <alignment horizontal="right"/>
    </xf>
    <xf numFmtId="0" fontId="10" fillId="0" borderId="0" xfId="0" applyFont="1"/>
    <xf numFmtId="0" fontId="32" fillId="0" borderId="0" xfId="0" applyFont="1" applyAlignment="1">
      <alignment horizontal="right" indent="1"/>
    </xf>
    <xf numFmtId="0" fontId="38" fillId="3" borderId="25" xfId="1" applyFont="1" applyFill="1" applyBorder="1" applyAlignment="1">
      <alignment horizontal="center" vertical="center" wrapText="1"/>
    </xf>
    <xf numFmtId="0" fontId="32" fillId="3" borderId="25" xfId="0" applyFont="1" applyFill="1" applyBorder="1" applyAlignment="1">
      <alignment horizontal="center" vertical="center"/>
    </xf>
    <xf numFmtId="0" fontId="32" fillId="0" borderId="0" xfId="0" applyFont="1" applyAlignment="1">
      <alignment horizontal="center" vertical="center"/>
    </xf>
    <xf numFmtId="0" fontId="0" fillId="0" borderId="0" xfId="0" applyAlignment="1">
      <alignment horizontal="center"/>
    </xf>
    <xf numFmtId="0" fontId="5" fillId="3" borderId="0" xfId="0" applyFont="1" applyFill="1" applyAlignment="1">
      <alignment horizontal="center"/>
    </xf>
    <xf numFmtId="0" fontId="5" fillId="2" borderId="43" xfId="0" applyFont="1" applyFill="1" applyBorder="1" applyAlignment="1">
      <alignment horizontal="center"/>
    </xf>
    <xf numFmtId="166" fontId="0" fillId="0" borderId="0" xfId="0" applyNumberFormat="1" applyAlignment="1">
      <alignment horizontal="center"/>
    </xf>
    <xf numFmtId="0" fontId="49" fillId="0" borderId="0" xfId="0" applyFont="1"/>
    <xf numFmtId="0" fontId="32" fillId="0" borderId="0" xfId="0" applyFont="1" applyAlignment="1">
      <alignment horizontal="left" vertical="center"/>
    </xf>
    <xf numFmtId="0" fontId="44" fillId="0" borderId="0" xfId="0" applyFont="1" applyAlignment="1">
      <alignment horizontal="left" vertical="center"/>
    </xf>
    <xf numFmtId="0" fontId="40" fillId="0" borderId="12" xfId="0" applyFont="1" applyBorder="1" applyAlignment="1">
      <alignment horizontal="center" vertical="center"/>
    </xf>
    <xf numFmtId="0" fontId="12" fillId="0" borderId="13" xfId="1" applyFont="1" applyBorder="1" applyAlignment="1">
      <alignment horizontal="center" vertical="center" wrapText="1"/>
    </xf>
    <xf numFmtId="0" fontId="38" fillId="7" borderId="4" xfId="1" applyFont="1" applyFill="1" applyBorder="1" applyAlignment="1">
      <alignment horizontal="center" vertical="center" wrapText="1"/>
    </xf>
    <xf numFmtId="165" fontId="32" fillId="7" borderId="25" xfId="0" applyNumberFormat="1" applyFont="1" applyFill="1" applyBorder="1" applyAlignment="1">
      <alignment horizontal="center" vertical="center"/>
    </xf>
    <xf numFmtId="164" fontId="32" fillId="7" borderId="25" xfId="0" applyNumberFormat="1" applyFont="1" applyFill="1" applyBorder="1" applyAlignment="1">
      <alignment horizontal="center" vertical="center"/>
    </xf>
    <xf numFmtId="0" fontId="38" fillId="7" borderId="25" xfId="1" applyFont="1" applyFill="1" applyBorder="1" applyAlignment="1">
      <alignment horizontal="center" vertical="center" wrapText="1"/>
    </xf>
    <xf numFmtId="1" fontId="32" fillId="7" borderId="25" xfId="0" applyNumberFormat="1" applyFont="1" applyFill="1" applyBorder="1" applyAlignment="1">
      <alignment horizontal="center" vertical="center"/>
    </xf>
    <xf numFmtId="0" fontId="32" fillId="7" borderId="25" xfId="0" applyFont="1" applyFill="1" applyBorder="1" applyAlignment="1">
      <alignment horizontal="center" vertical="center"/>
    </xf>
    <xf numFmtId="1" fontId="38" fillId="7" borderId="25" xfId="1" applyNumberFormat="1" applyFont="1" applyFill="1" applyBorder="1" applyAlignment="1">
      <alignment horizontal="center" vertical="center" wrapText="1"/>
    </xf>
    <xf numFmtId="0" fontId="30" fillId="7" borderId="22" xfId="0" applyFont="1" applyFill="1" applyBorder="1" applyAlignment="1">
      <alignment horizontal="centerContinuous" wrapText="1"/>
    </xf>
    <xf numFmtId="0" fontId="30" fillId="7" borderId="23" xfId="0" applyFont="1" applyFill="1" applyBorder="1" applyAlignment="1">
      <alignment horizontal="centerContinuous" wrapText="1"/>
    </xf>
    <xf numFmtId="0" fontId="12" fillId="7" borderId="56" xfId="1" applyFont="1" applyFill="1" applyBorder="1" applyAlignment="1">
      <alignment horizontal="center" vertical="center" wrapText="1"/>
    </xf>
    <xf numFmtId="0" fontId="12" fillId="7" borderId="55" xfId="1" applyFont="1" applyFill="1" applyBorder="1" applyAlignment="1">
      <alignment horizontal="center" vertical="top" wrapText="1"/>
    </xf>
    <xf numFmtId="0" fontId="12" fillId="7" borderId="55" xfId="1" applyFont="1" applyFill="1" applyBorder="1" applyAlignment="1">
      <alignment horizontal="center" vertical="center" wrapText="1"/>
    </xf>
    <xf numFmtId="0" fontId="12" fillId="7" borderId="20" xfId="1" applyFont="1" applyFill="1" applyBorder="1" applyAlignment="1">
      <alignment horizontal="center" vertical="center" wrapText="1"/>
    </xf>
    <xf numFmtId="0" fontId="30" fillId="7" borderId="21" xfId="0" applyFont="1" applyFill="1" applyBorder="1" applyAlignment="1">
      <alignment horizontal="centerContinuous" vertical="center" wrapText="1"/>
    </xf>
    <xf numFmtId="0" fontId="47" fillId="0" borderId="0" xfId="0" applyFont="1"/>
    <xf numFmtId="0" fontId="47" fillId="0" borderId="0" xfId="0" applyFont="1" applyAlignment="1">
      <alignment horizontal="center"/>
    </xf>
    <xf numFmtId="0" fontId="47" fillId="0" borderId="0" xfId="0" applyFont="1" applyAlignment="1">
      <alignment horizontal="right"/>
    </xf>
    <xf numFmtId="0" fontId="56" fillId="0" borderId="0" xfId="0" applyFont="1"/>
    <xf numFmtId="0" fontId="31" fillId="0" borderId="0" xfId="0" applyFont="1" applyAlignment="1">
      <alignment horizontal="left" indent="1"/>
    </xf>
    <xf numFmtId="0" fontId="54" fillId="2" borderId="26" xfId="1" applyFont="1" applyFill="1" applyBorder="1" applyAlignment="1">
      <alignment horizontal="centerContinuous"/>
    </xf>
    <xf numFmtId="0" fontId="51" fillId="2" borderId="23" xfId="0" applyFont="1" applyFill="1" applyBorder="1" applyAlignment="1">
      <alignment horizontal="centerContinuous" wrapText="1"/>
    </xf>
    <xf numFmtId="0" fontId="38" fillId="7" borderId="25" xfId="1" applyFont="1" applyFill="1" applyBorder="1" applyAlignment="1">
      <alignment horizontal="left" vertical="center"/>
    </xf>
    <xf numFmtId="0" fontId="32" fillId="7" borderId="25" xfId="0" applyFont="1" applyFill="1" applyBorder="1" applyAlignment="1">
      <alignment horizontal="left" vertical="center"/>
    </xf>
    <xf numFmtId="0" fontId="7" fillId="2" borderId="24" xfId="0" applyFont="1" applyFill="1" applyBorder="1" applyAlignment="1">
      <alignment horizontal="centerContinuous" wrapText="1"/>
    </xf>
    <xf numFmtId="0" fontId="32" fillId="3" borderId="5" xfId="0" applyFont="1" applyFill="1" applyBorder="1" applyAlignment="1">
      <alignment horizontal="center" vertical="center"/>
    </xf>
    <xf numFmtId="0" fontId="30" fillId="0" borderId="0" xfId="0" applyFont="1" applyAlignment="1">
      <alignment horizontal="centerContinuous" wrapText="1"/>
    </xf>
    <xf numFmtId="0" fontId="12" fillId="0" borderId="0" xfId="1" applyFont="1" applyAlignment="1">
      <alignment horizontal="center" vertical="center" wrapText="1"/>
    </xf>
    <xf numFmtId="0" fontId="38" fillId="0" borderId="0" xfId="1" applyFont="1" applyAlignment="1">
      <alignment horizontal="center" vertical="center"/>
    </xf>
    <xf numFmtId="0" fontId="38" fillId="7" borderId="25" xfId="1" quotePrefix="1" applyFont="1" applyFill="1" applyBorder="1" applyAlignment="1">
      <alignment horizontal="center" vertical="center" wrapText="1"/>
    </xf>
    <xf numFmtId="0" fontId="32" fillId="2" borderId="25" xfId="0" applyFont="1" applyFill="1" applyBorder="1"/>
    <xf numFmtId="0" fontId="32" fillId="7" borderId="25" xfId="0" applyFont="1" applyFill="1" applyBorder="1"/>
    <xf numFmtId="0" fontId="31" fillId="3" borderId="25" xfId="0" applyFont="1" applyFill="1" applyBorder="1" applyAlignment="1">
      <alignment horizontal="center" vertical="center"/>
    </xf>
    <xf numFmtId="0" fontId="54" fillId="2" borderId="27" xfId="1" applyFont="1" applyFill="1" applyBorder="1" applyAlignment="1">
      <alignment horizontal="centerContinuous"/>
    </xf>
    <xf numFmtId="0" fontId="0" fillId="0" borderId="25" xfId="0" applyBorder="1"/>
    <xf numFmtId="0" fontId="6" fillId="0" borderId="25" xfId="0" applyFont="1" applyBorder="1"/>
    <xf numFmtId="0" fontId="8" fillId="3" borderId="0" xfId="1" applyFont="1" applyFill="1" applyAlignment="1">
      <alignment horizontal="center" vertical="center"/>
    </xf>
    <xf numFmtId="0" fontId="50" fillId="0" borderId="0" xfId="0" applyFont="1"/>
    <xf numFmtId="0" fontId="52" fillId="0" borderId="0" xfId="0" applyFont="1"/>
    <xf numFmtId="0" fontId="16" fillId="0" borderId="0" xfId="0" applyFont="1"/>
    <xf numFmtId="0" fontId="5" fillId="13" borderId="25" xfId="0" applyFont="1" applyFill="1" applyBorder="1" applyAlignment="1">
      <alignment horizontal="center" wrapText="1"/>
    </xf>
    <xf numFmtId="0" fontId="5" fillId="13" borderId="26" xfId="0" applyFont="1" applyFill="1" applyBorder="1" applyAlignment="1">
      <alignment horizontal="center" wrapText="1"/>
    </xf>
    <xf numFmtId="0" fontId="0" fillId="13" borderId="25" xfId="0" applyFill="1" applyBorder="1" applyAlignment="1">
      <alignment wrapText="1"/>
    </xf>
    <xf numFmtId="0" fontId="0" fillId="9" borderId="25" xfId="0" applyFill="1" applyBorder="1" applyAlignment="1">
      <alignment vertical="center" wrapText="1"/>
    </xf>
    <xf numFmtId="0" fontId="0" fillId="9" borderId="26" xfId="0" applyFill="1" applyBorder="1" applyAlignment="1">
      <alignment vertical="center" wrapText="1"/>
    </xf>
    <xf numFmtId="0" fontId="6" fillId="0" borderId="25" xfId="0" applyFont="1" applyBorder="1" applyAlignment="1">
      <alignment vertical="center"/>
    </xf>
    <xf numFmtId="0" fontId="0" fillId="7" borderId="4" xfId="0" applyFill="1" applyBorder="1" applyAlignment="1">
      <alignment vertical="center" wrapText="1"/>
    </xf>
    <xf numFmtId="0" fontId="0" fillId="7" borderId="25" xfId="0" applyFill="1" applyBorder="1" applyAlignment="1">
      <alignment vertical="center" wrapText="1"/>
    </xf>
    <xf numFmtId="0" fontId="0" fillId="7" borderId="26" xfId="0" applyFill="1" applyBorder="1" applyAlignment="1">
      <alignment vertical="center" wrapText="1"/>
    </xf>
    <xf numFmtId="0" fontId="6" fillId="7" borderId="4" xfId="0" applyFont="1" applyFill="1" applyBorder="1" applyAlignment="1">
      <alignment vertical="center" wrapText="1"/>
    </xf>
    <xf numFmtId="0" fontId="6" fillId="7" borderId="25" xfId="0" applyFont="1" applyFill="1" applyBorder="1" applyAlignment="1">
      <alignment vertical="center" wrapText="1"/>
    </xf>
    <xf numFmtId="0" fontId="6" fillId="3" borderId="25" xfId="0" applyFont="1" applyFill="1" applyBorder="1" applyAlignment="1">
      <alignment vertical="center"/>
    </xf>
    <xf numFmtId="0" fontId="0" fillId="0" borderId="0" xfId="0" applyAlignment="1">
      <alignment vertical="center"/>
    </xf>
    <xf numFmtId="0" fontId="30" fillId="7" borderId="26" xfId="0" applyFont="1" applyFill="1" applyBorder="1" applyAlignment="1">
      <alignment horizontal="centerContinuous" wrapText="1"/>
    </xf>
    <xf numFmtId="0" fontId="0" fillId="7" borderId="27" xfId="0" applyFill="1" applyBorder="1" applyAlignment="1">
      <alignment horizontal="centerContinuous" wrapText="1"/>
    </xf>
    <xf numFmtId="0" fontId="0" fillId="7" borderId="4" xfId="0" applyFill="1" applyBorder="1" applyAlignment="1">
      <alignment horizontal="centerContinuous" wrapText="1"/>
    </xf>
    <xf numFmtId="0" fontId="5" fillId="0" borderId="25" xfId="0" applyFont="1" applyBorder="1" applyAlignment="1">
      <alignment horizontal="center" wrapText="1"/>
    </xf>
    <xf numFmtId="0" fontId="7" fillId="7" borderId="25" xfId="0" applyFont="1" applyFill="1" applyBorder="1" applyAlignment="1">
      <alignment horizontal="center" wrapText="1"/>
    </xf>
    <xf numFmtId="0" fontId="7" fillId="7" borderId="26" xfId="0" applyFont="1" applyFill="1" applyBorder="1" applyAlignment="1">
      <alignment horizontal="center" wrapText="1"/>
    </xf>
    <xf numFmtId="0" fontId="6" fillId="7" borderId="60" xfId="0" applyFont="1" applyFill="1" applyBorder="1" applyAlignment="1">
      <alignment vertical="center" wrapText="1"/>
    </xf>
    <xf numFmtId="0" fontId="6" fillId="7" borderId="29" xfId="0" applyFont="1" applyFill="1" applyBorder="1" applyAlignment="1">
      <alignment vertical="center" wrapText="1"/>
    </xf>
    <xf numFmtId="0" fontId="0" fillId="7" borderId="30" xfId="0" applyFill="1" applyBorder="1" applyAlignment="1">
      <alignment vertical="center" wrapText="1"/>
    </xf>
    <xf numFmtId="0" fontId="6" fillId="3" borderId="29" xfId="0" applyFont="1" applyFill="1" applyBorder="1" applyAlignment="1">
      <alignment vertical="center"/>
    </xf>
    <xf numFmtId="0" fontId="0" fillId="0" borderId="2" xfId="0" applyBorder="1" applyAlignment="1">
      <alignment horizontal="center" vertical="center"/>
    </xf>
    <xf numFmtId="0" fontId="6" fillId="0" borderId="0" xfId="0" applyFont="1" applyAlignment="1">
      <alignment wrapText="1"/>
    </xf>
    <xf numFmtId="0" fontId="8" fillId="8" borderId="6" xfId="1" applyFont="1" applyFill="1" applyBorder="1" applyAlignment="1">
      <alignment horizontal="center" vertical="top" textRotation="90" wrapText="1"/>
    </xf>
    <xf numFmtId="0" fontId="0" fillId="0" borderId="0" xfId="0" applyAlignment="1">
      <alignment horizontal="center" vertical="top" textRotation="90"/>
    </xf>
    <xf numFmtId="0" fontId="55" fillId="7" borderId="26" xfId="0" applyFont="1" applyFill="1" applyBorder="1" applyAlignment="1">
      <alignment horizontal="left"/>
    </xf>
    <xf numFmtId="0" fontId="47" fillId="7" borderId="25" xfId="0" applyFont="1" applyFill="1" applyBorder="1" applyAlignment="1">
      <alignment horizontal="left"/>
    </xf>
    <xf numFmtId="0" fontId="47" fillId="7" borderId="27" xfId="0" applyFont="1" applyFill="1" applyBorder="1" applyAlignment="1">
      <alignment horizontal="left"/>
    </xf>
    <xf numFmtId="0" fontId="8" fillId="7" borderId="25" xfId="1" applyFont="1" applyFill="1" applyBorder="1" applyAlignment="1">
      <alignment horizontal="center" vertical="top" wrapText="1"/>
    </xf>
    <xf numFmtId="0" fontId="8" fillId="7" borderId="25" xfId="1" applyFont="1" applyFill="1" applyBorder="1" applyAlignment="1">
      <alignment horizontal="center" vertical="top" textRotation="90" wrapText="1"/>
    </xf>
    <xf numFmtId="0" fontId="5" fillId="0" borderId="25" xfId="0" applyFont="1" applyBorder="1" applyAlignment="1">
      <alignment wrapText="1"/>
    </xf>
    <xf numFmtId="0" fontId="0" fillId="0" borderId="25" xfId="0" applyBorder="1" applyAlignment="1">
      <alignment horizontal="center" vertical="top"/>
    </xf>
    <xf numFmtId="0" fontId="6" fillId="0" borderId="25" xfId="0" applyFont="1" applyBorder="1" applyAlignment="1">
      <alignment horizontal="left" vertical="top" wrapText="1"/>
    </xf>
    <xf numFmtId="0" fontId="0" fillId="0" borderId="25" xfId="0" applyBorder="1" applyAlignment="1">
      <alignment wrapText="1"/>
    </xf>
    <xf numFmtId="0" fontId="31" fillId="11" borderId="25" xfId="0" applyFont="1" applyFill="1" applyBorder="1" applyAlignment="1">
      <alignment horizontal="center" vertical="center"/>
    </xf>
    <xf numFmtId="0" fontId="8" fillId="10" borderId="25" xfId="1" applyFont="1" applyFill="1" applyBorder="1" applyAlignment="1">
      <alignment horizontal="center"/>
    </xf>
    <xf numFmtId="0" fontId="8" fillId="10" borderId="25" xfId="1" quotePrefix="1" applyFont="1" applyFill="1" applyBorder="1" applyAlignment="1">
      <alignment horizontal="center"/>
    </xf>
    <xf numFmtId="0" fontId="8" fillId="10" borderId="4" xfId="1" applyFont="1" applyFill="1" applyBorder="1" applyAlignment="1">
      <alignment horizontal="left"/>
    </xf>
    <xf numFmtId="0" fontId="47" fillId="10" borderId="25" xfId="1" applyFont="1" applyFill="1" applyBorder="1" applyAlignment="1">
      <alignment horizontal="center"/>
    </xf>
    <xf numFmtId="0" fontId="8" fillId="10" borderId="0" xfId="1" applyFont="1" applyFill="1"/>
    <xf numFmtId="0" fontId="6" fillId="10" borderId="26" xfId="0" applyFont="1" applyFill="1" applyBorder="1" applyAlignment="1">
      <alignment horizontal="centerContinuous"/>
    </xf>
    <xf numFmtId="0" fontId="0" fillId="10" borderId="27" xfId="0" applyFill="1" applyBorder="1" applyAlignment="1">
      <alignment horizontal="centerContinuous"/>
    </xf>
    <xf numFmtId="17" fontId="0" fillId="0" borderId="0" xfId="0" applyNumberFormat="1"/>
    <xf numFmtId="0" fontId="6" fillId="0" borderId="25" xfId="0" applyFont="1" applyBorder="1" applyAlignment="1">
      <alignment wrapText="1"/>
    </xf>
    <xf numFmtId="0" fontId="0" fillId="0" borderId="25" xfId="0" applyBorder="1" applyAlignment="1">
      <alignment horizontal="center"/>
    </xf>
    <xf numFmtId="0" fontId="6" fillId="0" borderId="62" xfId="0" applyFont="1" applyBorder="1" applyAlignment="1" applyProtection="1">
      <alignment horizontal="center"/>
      <protection locked="0"/>
    </xf>
    <xf numFmtId="0" fontId="6" fillId="0" borderId="2" xfId="0" applyFont="1" applyBorder="1" applyProtection="1">
      <protection locked="0"/>
    </xf>
    <xf numFmtId="0" fontId="0" fillId="0" borderId="2" xfId="0" applyBorder="1" applyProtection="1">
      <protection locked="0"/>
    </xf>
    <xf numFmtId="165" fontId="0" fillId="0" borderId="2" xfId="0" applyNumberFormat="1" applyBorder="1" applyProtection="1">
      <protection locked="0"/>
    </xf>
    <xf numFmtId="11" fontId="0" fillId="0" borderId="2" xfId="0" applyNumberFormat="1" applyBorder="1" applyProtection="1">
      <protection locked="0"/>
    </xf>
    <xf numFmtId="2" fontId="0" fillId="0" borderId="2" xfId="0" applyNumberFormat="1" applyBorder="1" applyProtection="1">
      <protection locked="0"/>
    </xf>
    <xf numFmtId="0" fontId="0" fillId="0" borderId="63" xfId="0" applyBorder="1"/>
    <xf numFmtId="165" fontId="0" fillId="0" borderId="2" xfId="0" applyNumberFormat="1" applyBorder="1" applyAlignment="1" applyProtection="1">
      <alignment horizontal="center"/>
      <protection locked="0"/>
    </xf>
    <xf numFmtId="0" fontId="0" fillId="2" borderId="0" xfId="0" applyFill="1"/>
    <xf numFmtId="0" fontId="0" fillId="4" borderId="0" xfId="0" applyFill="1" applyAlignment="1">
      <alignment horizontal="right"/>
    </xf>
    <xf numFmtId="0" fontId="50" fillId="0" borderId="0" xfId="0" applyFont="1" applyAlignment="1">
      <alignment horizontal="right"/>
    </xf>
    <xf numFmtId="0" fontId="5" fillId="0" borderId="0" xfId="0" applyFont="1" applyAlignment="1">
      <alignment horizontal="center"/>
    </xf>
    <xf numFmtId="0" fontId="50" fillId="0" borderId="0" xfId="0" applyFont="1" applyAlignment="1">
      <alignment horizontal="center"/>
    </xf>
    <xf numFmtId="171" fontId="0" fillId="14" borderId="25" xfId="0" applyNumberFormat="1" applyFill="1" applyBorder="1" applyAlignment="1">
      <alignment horizontal="center"/>
    </xf>
    <xf numFmtId="0" fontId="21" fillId="0" borderId="25" xfId="0" applyFont="1" applyBorder="1" applyAlignment="1">
      <alignment horizontal="center" vertical="top" wrapText="1"/>
    </xf>
    <xf numFmtId="0" fontId="61" fillId="0" borderId="0" xfId="0" applyFont="1"/>
    <xf numFmtId="0" fontId="62" fillId="0" borderId="0" xfId="11"/>
    <xf numFmtId="0" fontId="31" fillId="0" borderId="0" xfId="0" applyFont="1" applyAlignment="1">
      <alignment horizontal="left"/>
    </xf>
    <xf numFmtId="0" fontId="62" fillId="0" borderId="0" xfId="11" applyAlignment="1">
      <alignment vertical="center"/>
    </xf>
    <xf numFmtId="0" fontId="63" fillId="0" borderId="25" xfId="0" applyFont="1" applyBorder="1" applyAlignment="1">
      <alignment horizontal="center" vertical="center" wrapText="1"/>
    </xf>
    <xf numFmtId="1" fontId="61" fillId="0" borderId="0" xfId="0" applyNumberFormat="1" applyFont="1" applyAlignment="1">
      <alignment horizontal="center"/>
    </xf>
    <xf numFmtId="171" fontId="20" fillId="0" borderId="64" xfId="0" applyNumberFormat="1" applyFont="1" applyBorder="1" applyAlignment="1">
      <alignment horizontal="center" vertical="center" wrapText="1"/>
    </xf>
    <xf numFmtId="0" fontId="7" fillId="2" borderId="23" xfId="0" applyFont="1" applyFill="1" applyBorder="1" applyAlignment="1">
      <alignment horizontal="centerContinuous" wrapText="1"/>
    </xf>
    <xf numFmtId="0" fontId="0" fillId="0" borderId="0" xfId="0" applyAlignment="1">
      <alignment vertical="top"/>
    </xf>
    <xf numFmtId="0" fontId="45" fillId="2" borderId="27" xfId="1" applyFont="1" applyFill="1" applyBorder="1" applyAlignment="1">
      <alignment horizontal="centerContinuous"/>
    </xf>
    <xf numFmtId="0" fontId="47" fillId="2" borderId="27" xfId="0" applyFont="1" applyFill="1" applyBorder="1" applyAlignment="1">
      <alignment horizontal="centerContinuous"/>
    </xf>
    <xf numFmtId="0" fontId="47" fillId="2" borderId="4" xfId="0" applyFont="1" applyFill="1" applyBorder="1" applyAlignment="1">
      <alignment horizontal="centerContinuous"/>
    </xf>
    <xf numFmtId="0" fontId="9" fillId="2" borderId="25" xfId="0" applyFont="1" applyFill="1" applyBorder="1" applyAlignment="1" applyProtection="1">
      <alignment horizontal="center" vertical="center"/>
      <protection locked="0"/>
    </xf>
    <xf numFmtId="9" fontId="9" fillId="2" borderId="25" xfId="8" applyFont="1" applyFill="1" applyBorder="1" applyAlignment="1" applyProtection="1">
      <alignment horizontal="center" vertical="center"/>
      <protection locked="0"/>
    </xf>
    <xf numFmtId="0" fontId="31" fillId="0" borderId="25" xfId="0" applyFont="1" applyBorder="1" applyAlignment="1">
      <alignment horizontal="center" vertical="center"/>
    </xf>
    <xf numFmtId="0" fontId="62" fillId="0" borderId="0" xfId="11" applyAlignment="1">
      <alignment horizontal="center"/>
    </xf>
    <xf numFmtId="0" fontId="32" fillId="0" borderId="0" xfId="10" applyFont="1" applyAlignment="1">
      <alignment horizontal="left"/>
    </xf>
    <xf numFmtId="165" fontId="0" fillId="15" borderId="0" xfId="0" applyNumberFormat="1" applyFill="1" applyAlignment="1">
      <alignment horizontal="center"/>
    </xf>
    <xf numFmtId="0" fontId="0" fillId="15" borderId="0" xfId="0" applyFill="1"/>
    <xf numFmtId="0" fontId="6" fillId="2" borderId="0" xfId="0" applyFont="1" applyFill="1"/>
    <xf numFmtId="0" fontId="6" fillId="14" borderId="25" xfId="0" applyFont="1" applyFill="1" applyBorder="1" applyAlignment="1">
      <alignment horizontal="center"/>
    </xf>
    <xf numFmtId="0" fontId="46" fillId="0" borderId="0" xfId="0" applyFont="1" applyAlignment="1">
      <alignment horizontal="right" vertical="center"/>
    </xf>
    <xf numFmtId="0" fontId="32" fillId="0" borderId="0" xfId="0" applyFont="1" applyAlignment="1">
      <alignment horizontal="right" vertical="center"/>
    </xf>
    <xf numFmtId="0" fontId="32" fillId="0" borderId="0" xfId="0" applyFont="1" applyAlignment="1">
      <alignment vertical="center"/>
    </xf>
    <xf numFmtId="0" fontId="31" fillId="0" borderId="0" xfId="0" applyFont="1" applyAlignment="1">
      <alignment horizontal="right" vertical="center"/>
    </xf>
    <xf numFmtId="0" fontId="41" fillId="0" borderId="0" xfId="0" applyFont="1" applyAlignment="1">
      <alignment vertical="center"/>
    </xf>
    <xf numFmtId="0" fontId="31" fillId="0" borderId="0" xfId="0" applyFont="1" applyAlignment="1">
      <alignment horizontal="center" vertical="center"/>
    </xf>
    <xf numFmtId="0" fontId="62" fillId="0" borderId="0" xfId="11" applyAlignment="1">
      <alignment horizontal="center" vertical="center"/>
    </xf>
    <xf numFmtId="0" fontId="67" fillId="0" borderId="0" xfId="0" applyFont="1" applyAlignment="1">
      <alignment horizontal="right" vertical="center"/>
    </xf>
    <xf numFmtId="0" fontId="68" fillId="0" borderId="0" xfId="0" applyFont="1" applyAlignment="1">
      <alignment vertical="center"/>
    </xf>
    <xf numFmtId="0" fontId="68" fillId="0" borderId="0" xfId="0" applyFont="1"/>
    <xf numFmtId="0" fontId="0" fillId="0" borderId="25" xfId="0" applyBorder="1" applyAlignment="1">
      <alignment vertical="top" wrapText="1"/>
    </xf>
    <xf numFmtId="0" fontId="61" fillId="0" borderId="0" xfId="0" applyFont="1" applyAlignment="1">
      <alignment vertical="top" wrapText="1"/>
    </xf>
    <xf numFmtId="0" fontId="5" fillId="0" borderId="0" xfId="0" applyFont="1" applyAlignment="1">
      <alignment horizontal="right" vertical="center"/>
    </xf>
    <xf numFmtId="0" fontId="32" fillId="0" borderId="0" xfId="10" applyFont="1" applyAlignment="1">
      <alignment horizontal="right" vertical="center"/>
    </xf>
    <xf numFmtId="1" fontId="32" fillId="3" borderId="25" xfId="0" applyNumberFormat="1" applyFont="1" applyFill="1" applyBorder="1" applyAlignment="1">
      <alignment horizontal="center" vertical="center"/>
    </xf>
    <xf numFmtId="0" fontId="33" fillId="0" borderId="0" xfId="0" applyFont="1" applyAlignment="1">
      <alignment horizontal="right" vertical="center"/>
    </xf>
    <xf numFmtId="2" fontId="40" fillId="3" borderId="25" xfId="0" applyNumberFormat="1" applyFont="1" applyFill="1" applyBorder="1" applyAlignment="1">
      <alignment horizontal="center" vertical="center"/>
    </xf>
    <xf numFmtId="0" fontId="6" fillId="0" borderId="28" xfId="0" applyFont="1" applyBorder="1" applyAlignment="1">
      <alignment horizontal="center" vertical="center" wrapText="1"/>
    </xf>
    <xf numFmtId="0" fontId="32" fillId="17" borderId="0" xfId="0" applyFont="1" applyFill="1"/>
    <xf numFmtId="0" fontId="32" fillId="17" borderId="0" xfId="0" applyFont="1" applyFill="1" applyAlignment="1">
      <alignment horizontal="right" indent="1"/>
    </xf>
    <xf numFmtId="0" fontId="0" fillId="17" borderId="0" xfId="0" applyFill="1"/>
    <xf numFmtId="0" fontId="32" fillId="17" borderId="5" xfId="0" applyFont="1" applyFill="1" applyBorder="1" applyAlignment="1">
      <alignment horizontal="center" vertical="center"/>
    </xf>
    <xf numFmtId="0" fontId="32" fillId="12" borderId="0" xfId="0" applyFont="1" applyFill="1"/>
    <xf numFmtId="0" fontId="32" fillId="12" borderId="0" xfId="0" applyFont="1" applyFill="1" applyAlignment="1">
      <alignment horizontal="right" indent="1"/>
    </xf>
    <xf numFmtId="0" fontId="0" fillId="12" borderId="0" xfId="0" applyFill="1"/>
    <xf numFmtId="0" fontId="32" fillId="12" borderId="27" xfId="0" applyFont="1" applyFill="1" applyBorder="1" applyAlignment="1">
      <alignment horizontal="center" vertical="center"/>
    </xf>
    <xf numFmtId="0" fontId="32" fillId="18" borderId="0" xfId="0" applyFont="1" applyFill="1"/>
    <xf numFmtId="0" fontId="32" fillId="18" borderId="0" xfId="0" applyFont="1" applyFill="1" applyAlignment="1">
      <alignment horizontal="right" indent="1"/>
    </xf>
    <xf numFmtId="0" fontId="0" fillId="18" borderId="0" xfId="0" applyFill="1"/>
    <xf numFmtId="0" fontId="32" fillId="18" borderId="3" xfId="0" applyFont="1" applyFill="1" applyBorder="1" applyAlignment="1">
      <alignment horizontal="center" vertical="center"/>
    </xf>
    <xf numFmtId="0" fontId="62" fillId="0" borderId="0" xfId="11" applyAlignment="1">
      <alignment vertical="top"/>
    </xf>
    <xf numFmtId="0" fontId="71" fillId="0" borderId="25" xfId="0" applyFont="1" applyBorder="1" applyAlignment="1">
      <alignment horizontal="center" vertical="center" wrapText="1"/>
    </xf>
    <xf numFmtId="0" fontId="71" fillId="0" borderId="25" xfId="0" applyFont="1" applyBorder="1" applyAlignment="1">
      <alignment horizontal="center" vertical="center"/>
    </xf>
    <xf numFmtId="0" fontId="0" fillId="10" borderId="25" xfId="0" applyFill="1" applyBorder="1" applyAlignment="1">
      <alignment horizontal="center" vertical="center"/>
    </xf>
    <xf numFmtId="0" fontId="61" fillId="2" borderId="0" xfId="0" applyFont="1" applyFill="1"/>
    <xf numFmtId="0" fontId="32" fillId="0" borderId="0" xfId="0" applyFont="1" applyAlignment="1">
      <alignment vertical="top"/>
    </xf>
    <xf numFmtId="0" fontId="6" fillId="13" borderId="25" xfId="0" applyFont="1" applyFill="1" applyBorder="1" applyAlignment="1">
      <alignment horizontal="center" wrapText="1"/>
    </xf>
    <xf numFmtId="0" fontId="6" fillId="10" borderId="0" xfId="0" applyFont="1" applyFill="1" applyAlignment="1">
      <alignment horizontal="left" indent="1"/>
    </xf>
    <xf numFmtId="0" fontId="52" fillId="10" borderId="0" xfId="0" applyFont="1" applyFill="1" applyAlignment="1">
      <alignment horizontal="left" indent="1"/>
    </xf>
    <xf numFmtId="0" fontId="0" fillId="10" borderId="29" xfId="0" applyFill="1" applyBorder="1" applyAlignment="1">
      <alignment horizontal="center" vertical="center"/>
    </xf>
    <xf numFmtId="0" fontId="0" fillId="0" borderId="2" xfId="0" applyBorder="1"/>
    <xf numFmtId="0" fontId="0" fillId="0" borderId="6" xfId="0" applyBorder="1"/>
    <xf numFmtId="0" fontId="71" fillId="3" borderId="6" xfId="0" applyFont="1" applyFill="1" applyBorder="1" applyAlignment="1">
      <alignment horizontal="center" vertical="center"/>
    </xf>
    <xf numFmtId="0" fontId="6" fillId="7" borderId="61" xfId="0" applyFont="1" applyFill="1" applyBorder="1" applyAlignment="1">
      <alignment vertical="center" wrapText="1"/>
    </xf>
    <xf numFmtId="0" fontId="6" fillId="7" borderId="6" xfId="0" applyFont="1" applyFill="1" applyBorder="1" applyAlignment="1">
      <alignment vertical="center" wrapText="1"/>
    </xf>
    <xf numFmtId="0" fontId="0" fillId="7" borderId="66" xfId="0" applyFill="1" applyBorder="1" applyAlignment="1">
      <alignment vertical="center" wrapText="1"/>
    </xf>
    <xf numFmtId="0" fontId="6" fillId="3" borderId="6" xfId="0" applyFont="1" applyFill="1" applyBorder="1" applyAlignment="1">
      <alignment vertical="center"/>
    </xf>
    <xf numFmtId="0" fontId="0" fillId="3" borderId="7" xfId="0" applyFill="1" applyBorder="1" applyAlignment="1">
      <alignment horizontal="center" vertical="center"/>
    </xf>
    <xf numFmtId="0" fontId="6" fillId="7" borderId="67" xfId="0" applyFont="1" applyFill="1" applyBorder="1" applyAlignment="1">
      <alignment vertical="center" wrapText="1"/>
    </xf>
    <xf numFmtId="0" fontId="6" fillId="7" borderId="7" xfId="0" applyFont="1" applyFill="1" applyBorder="1" applyAlignment="1">
      <alignment vertical="center" wrapText="1"/>
    </xf>
    <xf numFmtId="0" fontId="0" fillId="7" borderId="68" xfId="0" applyFill="1" applyBorder="1" applyAlignment="1">
      <alignment vertical="center" wrapText="1"/>
    </xf>
    <xf numFmtId="0" fontId="6" fillId="3" borderId="7" xfId="0" applyFont="1" applyFill="1" applyBorder="1" applyAlignment="1">
      <alignment vertical="center"/>
    </xf>
    <xf numFmtId="0" fontId="61" fillId="0" borderId="0" xfId="0" applyFont="1" applyAlignment="1">
      <alignment vertical="center"/>
    </xf>
    <xf numFmtId="0" fontId="0" fillId="3" borderId="0" xfId="0" applyFill="1"/>
    <xf numFmtId="0" fontId="0" fillId="0" borderId="0" xfId="0" applyAlignment="1">
      <alignment horizontal="center" wrapText="1"/>
    </xf>
    <xf numFmtId="176" fontId="9" fillId="2" borderId="26" xfId="0" applyNumberFormat="1" applyFont="1" applyFill="1" applyBorder="1" applyAlignment="1" applyProtection="1">
      <alignment horizontal="center" vertical="center"/>
      <protection locked="0"/>
    </xf>
    <xf numFmtId="0" fontId="5" fillId="2" borderId="25" xfId="0" applyFont="1" applyFill="1" applyBorder="1" applyAlignment="1">
      <alignment horizontal="center" wrapText="1"/>
    </xf>
    <xf numFmtId="0" fontId="12" fillId="7" borderId="25" xfId="1" applyFont="1" applyFill="1" applyBorder="1" applyAlignment="1">
      <alignment horizontal="center" vertical="center" wrapText="1"/>
    </xf>
    <xf numFmtId="0" fontId="0" fillId="3" borderId="25" xfId="0" applyFill="1" applyBorder="1" applyAlignment="1">
      <alignment horizontal="center" wrapText="1"/>
    </xf>
    <xf numFmtId="0" fontId="0" fillId="7" borderId="25" xfId="0" applyFill="1" applyBorder="1" applyAlignment="1">
      <alignment horizontal="center"/>
    </xf>
    <xf numFmtId="9" fontId="0" fillId="7" borderId="25" xfId="0" applyNumberFormat="1" applyFill="1" applyBorder="1" applyAlignment="1">
      <alignment horizontal="center" wrapText="1"/>
    </xf>
    <xf numFmtId="0" fontId="0" fillId="7" borderId="25" xfId="0" applyFill="1" applyBorder="1" applyAlignment="1">
      <alignment horizontal="center" wrapText="1"/>
    </xf>
    <xf numFmtId="9" fontId="0" fillId="7" borderId="25" xfId="0" applyNumberFormat="1" applyFill="1" applyBorder="1" applyAlignment="1">
      <alignment horizontal="center"/>
    </xf>
    <xf numFmtId="0" fontId="0" fillId="0" borderId="0" xfId="0" applyAlignment="1">
      <alignment horizontal="left" indent="1"/>
    </xf>
    <xf numFmtId="0" fontId="6" fillId="0" borderId="0" xfId="0" applyFont="1" applyAlignment="1">
      <alignment vertical="center"/>
    </xf>
    <xf numFmtId="0" fontId="9" fillId="2" borderId="25" xfId="0" applyFont="1" applyFill="1" applyBorder="1" applyAlignment="1" applyProtection="1">
      <alignment vertical="center"/>
      <protection locked="0"/>
    </xf>
    <xf numFmtId="0" fontId="9" fillId="2" borderId="2" xfId="0" applyFont="1" applyFill="1" applyBorder="1" applyAlignment="1" applyProtection="1">
      <alignment horizontal="center" vertical="center"/>
      <protection locked="0"/>
    </xf>
    <xf numFmtId="2" fontId="32" fillId="0" borderId="0" xfId="0" applyNumberFormat="1" applyFont="1" applyAlignment="1">
      <alignment vertical="top"/>
    </xf>
    <xf numFmtId="0" fontId="5" fillId="3" borderId="0" xfId="0" applyFont="1" applyFill="1"/>
    <xf numFmtId="0" fontId="62" fillId="0" borderId="0" xfId="11" applyAlignment="1">
      <alignment horizontal="centerContinuous"/>
    </xf>
    <xf numFmtId="0" fontId="32" fillId="0" borderId="0" xfId="0" applyFont="1" applyAlignment="1">
      <alignment horizontal="centerContinuous"/>
    </xf>
    <xf numFmtId="1" fontId="32" fillId="4" borderId="29" xfId="10" applyNumberFormat="1" applyFont="1" applyFill="1" applyBorder="1" applyAlignment="1">
      <alignment horizontal="center"/>
    </xf>
    <xf numFmtId="0" fontId="31" fillId="3" borderId="24" xfId="10" applyFont="1" applyFill="1" applyBorder="1" applyAlignment="1">
      <alignment horizontal="center"/>
    </xf>
    <xf numFmtId="0" fontId="32" fillId="0" borderId="69" xfId="10" applyFont="1" applyBorder="1" applyAlignment="1">
      <alignment horizontal="right"/>
    </xf>
    <xf numFmtId="0" fontId="31" fillId="0" borderId="0" xfId="10" applyFont="1" applyAlignment="1">
      <alignment horizontal="right"/>
    </xf>
    <xf numFmtId="0" fontId="6" fillId="0" borderId="25" xfId="0" applyFont="1" applyBorder="1" applyAlignment="1">
      <alignment horizontal="center" vertical="top"/>
    </xf>
    <xf numFmtId="0" fontId="6" fillId="0" borderId="25" xfId="0" applyFont="1" applyBorder="1" applyAlignment="1">
      <alignment vertical="top" wrapText="1"/>
    </xf>
    <xf numFmtId="14" fontId="0" fillId="0" borderId="25" xfId="0" applyNumberFormat="1" applyBorder="1" applyAlignment="1">
      <alignment horizontal="center" vertical="top"/>
    </xf>
    <xf numFmtId="14" fontId="0" fillId="0" borderId="25" xfId="0" applyNumberFormat="1" applyBorder="1" applyAlignment="1">
      <alignment horizontal="center"/>
    </xf>
    <xf numFmtId="0" fontId="62" fillId="0" borderId="0" xfId="11" applyAlignment="1">
      <alignment horizontal="left"/>
    </xf>
    <xf numFmtId="14" fontId="0" fillId="0" borderId="25" xfId="0" applyNumberFormat="1" applyBorder="1" applyAlignment="1">
      <alignment horizontal="center" vertical="center"/>
    </xf>
    <xf numFmtId="0" fontId="72" fillId="0" borderId="25" xfId="0" applyFont="1" applyBorder="1" applyAlignment="1">
      <alignment vertical="top" wrapText="1"/>
    </xf>
    <xf numFmtId="0" fontId="0" fillId="2" borderId="25" xfId="0" applyFill="1" applyBorder="1" applyAlignment="1">
      <alignment horizontal="center" vertical="center"/>
    </xf>
    <xf numFmtId="0" fontId="0" fillId="0" borderId="0" xfId="0" applyAlignment="1">
      <alignment horizontal="left" vertical="center" indent="1"/>
    </xf>
    <xf numFmtId="14" fontId="5" fillId="0" borderId="25" xfId="0" applyNumberFormat="1" applyFont="1" applyBorder="1" applyAlignment="1">
      <alignment horizontal="center" vertical="center"/>
    </xf>
    <xf numFmtId="0" fontId="5" fillId="0" borderId="25" xfId="0" applyFont="1" applyBorder="1" applyAlignment="1">
      <alignment vertical="top" wrapText="1"/>
    </xf>
    <xf numFmtId="0" fontId="32" fillId="0" borderId="0" xfId="0" applyFont="1" applyAlignment="1">
      <alignment horizontal="left" vertical="center" indent="1"/>
    </xf>
    <xf numFmtId="0" fontId="6" fillId="2" borderId="0" xfId="0" applyFont="1" applyFill="1" applyAlignment="1">
      <alignment wrapText="1"/>
    </xf>
    <xf numFmtId="0" fontId="8" fillId="7" borderId="61" xfId="1" applyFont="1" applyFill="1" applyBorder="1" applyAlignment="1">
      <alignment horizontal="center" vertical="top" textRotation="90" wrapText="1"/>
    </xf>
    <xf numFmtId="0" fontId="8" fillId="7" borderId="6" xfId="1" applyFont="1" applyFill="1" applyBorder="1" applyAlignment="1">
      <alignment horizontal="center" vertical="top" textRotation="90" wrapText="1"/>
    </xf>
    <xf numFmtId="0" fontId="6" fillId="0" borderId="0" xfId="0" applyFont="1" applyAlignment="1">
      <alignment vertical="center" wrapText="1"/>
    </xf>
    <xf numFmtId="0" fontId="47" fillId="7" borderId="25" xfId="0" applyFont="1" applyFill="1" applyBorder="1"/>
    <xf numFmtId="0" fontId="82" fillId="7" borderId="25" xfId="11" applyFont="1" applyFill="1" applyBorder="1" applyAlignment="1"/>
    <xf numFmtId="0" fontId="47" fillId="7" borderId="25" xfId="8" applyNumberFormat="1" applyFont="1" applyFill="1" applyBorder="1" applyAlignment="1"/>
    <xf numFmtId="0" fontId="47" fillId="19" borderId="25" xfId="1" applyFont="1" applyFill="1" applyBorder="1" applyAlignment="1">
      <alignment horizontal="center"/>
    </xf>
    <xf numFmtId="0" fontId="40" fillId="19" borderId="25" xfId="1" applyFont="1" applyFill="1" applyBorder="1" applyAlignment="1">
      <alignment horizontal="center"/>
    </xf>
    <xf numFmtId="0" fontId="40" fillId="19" borderId="25" xfId="1" quotePrefix="1" applyFont="1" applyFill="1" applyBorder="1" applyAlignment="1">
      <alignment horizontal="center"/>
    </xf>
    <xf numFmtId="0" fontId="47" fillId="19" borderId="25" xfId="1" quotePrefix="1" applyFont="1" applyFill="1" applyBorder="1" applyAlignment="1">
      <alignment horizontal="center"/>
    </xf>
    <xf numFmtId="0" fontId="47" fillId="19" borderId="0" xfId="1" applyFont="1" applyFill="1"/>
    <xf numFmtId="0" fontId="6" fillId="2" borderId="57" xfId="0" applyFont="1" applyFill="1" applyBorder="1" applyAlignment="1" applyProtection="1">
      <alignment vertical="center" wrapText="1"/>
      <protection locked="0"/>
    </xf>
    <xf numFmtId="0" fontId="6" fillId="2" borderId="2" xfId="0" applyFont="1" applyFill="1" applyBorder="1" applyAlignment="1" applyProtection="1">
      <alignment vertical="center" wrapText="1"/>
      <protection locked="0"/>
    </xf>
    <xf numFmtId="0" fontId="0" fillId="2" borderId="52" xfId="0" applyFill="1" applyBorder="1" applyAlignment="1" applyProtection="1">
      <alignment vertical="center" wrapText="1"/>
      <protection locked="0"/>
    </xf>
    <xf numFmtId="0" fontId="6" fillId="2" borderId="2" xfId="0" applyFont="1" applyFill="1" applyBorder="1" applyAlignment="1" applyProtection="1">
      <alignment vertical="center"/>
      <protection locked="0"/>
    </xf>
    <xf numFmtId="0" fontId="6" fillId="2" borderId="4" xfId="0" applyFont="1" applyFill="1" applyBorder="1" applyAlignment="1" applyProtection="1">
      <alignment vertical="center" wrapText="1"/>
      <protection locked="0"/>
    </xf>
    <xf numFmtId="0" fontId="6" fillId="2" borderId="25" xfId="0" applyFont="1" applyFill="1" applyBorder="1" applyAlignment="1" applyProtection="1">
      <alignment vertical="center" wrapText="1"/>
      <protection locked="0"/>
    </xf>
    <xf numFmtId="0" fontId="0" fillId="2" borderId="26" xfId="0" applyFill="1" applyBorder="1" applyAlignment="1" applyProtection="1">
      <alignment vertical="center" wrapText="1"/>
      <protection locked="0"/>
    </xf>
    <xf numFmtId="0" fontId="6" fillId="2" borderId="25" xfId="0" applyFont="1" applyFill="1" applyBorder="1" applyAlignment="1" applyProtection="1">
      <alignment vertical="center"/>
      <protection locked="0"/>
    </xf>
    <xf numFmtId="0" fontId="0" fillId="2" borderId="0" xfId="0" applyFill="1" applyProtection="1">
      <protection locked="0"/>
    </xf>
    <xf numFmtId="0" fontId="32" fillId="20" borderId="25" xfId="0" applyFont="1" applyFill="1" applyBorder="1"/>
    <xf numFmtId="0" fontId="32" fillId="0" borderId="70" xfId="0" applyFont="1" applyBorder="1" applyAlignment="1">
      <alignment horizontal="left" vertical="top" wrapText="1"/>
    </xf>
    <xf numFmtId="0" fontId="32" fillId="0" borderId="0" xfId="0" applyFont="1" applyAlignment="1">
      <alignment vertical="top" wrapText="1"/>
    </xf>
    <xf numFmtId="0" fontId="32" fillId="0" borderId="0" xfId="0" applyFont="1" applyAlignment="1">
      <alignment horizontal="left" vertical="top" wrapText="1"/>
    </xf>
    <xf numFmtId="0" fontId="0" fillId="0" borderId="0" xfId="0" applyAlignment="1">
      <alignment vertical="top" wrapText="1"/>
    </xf>
    <xf numFmtId="0" fontId="31" fillId="0" borderId="0" xfId="0" applyFont="1" applyAlignment="1">
      <alignment vertical="top" wrapText="1"/>
    </xf>
    <xf numFmtId="0" fontId="32" fillId="0" borderId="0" xfId="0" quotePrefix="1" applyFont="1" applyAlignment="1">
      <alignment horizontal="left" vertical="top" wrapText="1"/>
    </xf>
    <xf numFmtId="0" fontId="67" fillId="0" borderId="0" xfId="0" applyFont="1" applyAlignment="1">
      <alignment horizontal="left" vertical="top" wrapText="1"/>
    </xf>
    <xf numFmtId="0" fontId="5" fillId="0" borderId="0" xfId="0" applyFont="1" applyAlignment="1">
      <alignment vertical="top" wrapText="1"/>
    </xf>
    <xf numFmtId="0" fontId="6" fillId="0" borderId="0" xfId="0" applyFont="1" applyAlignment="1">
      <alignment vertical="top" wrapText="1"/>
    </xf>
    <xf numFmtId="0" fontId="32" fillId="0" borderId="16" xfId="0" applyFont="1" applyBorder="1" applyAlignment="1">
      <alignment vertical="top" wrapText="1"/>
    </xf>
    <xf numFmtId="0" fontId="32" fillId="0" borderId="27" xfId="0" applyFont="1" applyBorder="1" applyAlignment="1">
      <alignment horizontal="left" vertical="top" wrapText="1"/>
    </xf>
    <xf numFmtId="0" fontId="32" fillId="0" borderId="27" xfId="0" applyFont="1" applyBorder="1" applyAlignment="1">
      <alignment vertical="top" wrapText="1"/>
    </xf>
    <xf numFmtId="0" fontId="32" fillId="0" borderId="27" xfId="0" applyFont="1" applyBorder="1" applyAlignment="1">
      <alignment horizontal="left" vertical="center" wrapText="1"/>
    </xf>
    <xf numFmtId="0" fontId="10" fillId="0" borderId="70" xfId="0" applyFont="1" applyBorder="1" applyAlignment="1">
      <alignment horizontal="left" vertical="top" indent="1"/>
    </xf>
    <xf numFmtId="0" fontId="31" fillId="0" borderId="0" xfId="0" applyFont="1" applyAlignment="1">
      <alignment horizontal="left" vertical="top" indent="1"/>
    </xf>
    <xf numFmtId="0" fontId="31" fillId="0" borderId="16" xfId="0" applyFont="1" applyBorder="1" applyAlignment="1">
      <alignment horizontal="left" vertical="top" indent="1"/>
    </xf>
    <xf numFmtId="0" fontId="31" fillId="0" borderId="27" xfId="0" applyFont="1" applyBorder="1" applyAlignment="1">
      <alignment horizontal="left" indent="1"/>
    </xf>
    <xf numFmtId="0" fontId="62" fillId="0" borderId="27" xfId="11" applyBorder="1" applyAlignment="1">
      <alignment vertical="top"/>
    </xf>
    <xf numFmtId="0" fontId="31" fillId="0" borderId="16" xfId="0" applyFont="1" applyBorder="1" applyAlignment="1">
      <alignment horizontal="left" indent="1"/>
    </xf>
    <xf numFmtId="0" fontId="32" fillId="0" borderId="16" xfId="0" applyFont="1" applyBorder="1" applyAlignment="1">
      <alignment horizontal="left" vertical="top" wrapText="1"/>
    </xf>
    <xf numFmtId="0" fontId="31" fillId="0" borderId="70" xfId="0" applyFont="1" applyBorder="1" applyAlignment="1">
      <alignment horizontal="center" vertical="center" wrapText="1"/>
    </xf>
    <xf numFmtId="0" fontId="32" fillId="0" borderId="27" xfId="0" applyFont="1" applyBorder="1" applyAlignment="1">
      <alignment vertical="top"/>
    </xf>
    <xf numFmtId="0" fontId="31" fillId="0" borderId="70" xfId="0" applyFont="1" applyBorder="1" applyAlignment="1">
      <alignment horizontal="left" vertical="top"/>
    </xf>
    <xf numFmtId="0" fontId="40" fillId="0" borderId="0" xfId="0" applyFont="1" applyAlignment="1">
      <alignment horizontal="left" vertical="top"/>
    </xf>
    <xf numFmtId="0" fontId="32" fillId="0" borderId="70" xfId="0" applyFont="1" applyBorder="1" applyAlignment="1">
      <alignment vertical="top"/>
    </xf>
    <xf numFmtId="0" fontId="31" fillId="0" borderId="70" xfId="0" applyFont="1" applyBorder="1" applyAlignment="1">
      <alignment vertical="top" wrapText="1"/>
    </xf>
    <xf numFmtId="0" fontId="0" fillId="0" borderId="16" xfId="0" applyBorder="1"/>
    <xf numFmtId="0" fontId="0" fillId="0" borderId="70" xfId="0" applyBorder="1" applyAlignment="1">
      <alignment vertical="top"/>
    </xf>
    <xf numFmtId="0" fontId="30" fillId="0" borderId="0" xfId="0" applyFont="1" applyAlignment="1">
      <alignment horizontal="left" indent="1"/>
    </xf>
    <xf numFmtId="0" fontId="0" fillId="0" borderId="70" xfId="0" applyBorder="1" applyAlignment="1">
      <alignment vertical="center"/>
    </xf>
    <xf numFmtId="0" fontId="5" fillId="0" borderId="70" xfId="0" applyFont="1" applyBorder="1" applyAlignment="1">
      <alignment vertical="center"/>
    </xf>
    <xf numFmtId="0" fontId="32" fillId="0" borderId="16" xfId="0" applyFont="1" applyBorder="1"/>
    <xf numFmtId="0" fontId="5" fillId="0" borderId="70" xfId="0" applyFont="1" applyBorder="1" applyAlignment="1">
      <alignment horizontal="right" vertical="center"/>
    </xf>
    <xf numFmtId="0" fontId="50" fillId="2" borderId="0" xfId="0" applyFont="1" applyFill="1" applyAlignment="1" applyProtection="1">
      <alignment horizontal="center"/>
      <protection locked="0"/>
    </xf>
    <xf numFmtId="0" fontId="5" fillId="10" borderId="16" xfId="0" applyFont="1" applyFill="1" applyBorder="1" applyAlignment="1">
      <alignment horizontal="left" indent="1"/>
    </xf>
    <xf numFmtId="0" fontId="62" fillId="0" borderId="0" xfId="11" applyAlignment="1" applyProtection="1">
      <alignment horizontal="center"/>
    </xf>
    <xf numFmtId="0" fontId="48" fillId="0" borderId="0" xfId="1" applyFont="1" applyAlignment="1">
      <alignment horizontal="center" vertical="center"/>
    </xf>
    <xf numFmtId="0" fontId="62" fillId="0" borderId="0" xfId="11" applyProtection="1"/>
    <xf numFmtId="0" fontId="62" fillId="0" borderId="0" xfId="11" applyAlignment="1" applyProtection="1">
      <alignment vertical="top"/>
    </xf>
    <xf numFmtId="0" fontId="49" fillId="0" borderId="0" xfId="0" applyFont="1" applyAlignment="1">
      <alignment horizontal="center" vertical="center"/>
    </xf>
    <xf numFmtId="0" fontId="24" fillId="0" borderId="0" xfId="0" applyFont="1"/>
    <xf numFmtId="0" fontId="49" fillId="0" borderId="0" xfId="0" applyFont="1" applyAlignment="1">
      <alignment horizontal="right"/>
    </xf>
    <xf numFmtId="0" fontId="66" fillId="3" borderId="58" xfId="0" applyFont="1" applyFill="1" applyBorder="1" applyAlignment="1">
      <alignment horizontal="right"/>
    </xf>
    <xf numFmtId="0" fontId="66" fillId="3" borderId="59" xfId="0" applyFont="1" applyFill="1" applyBorder="1" applyAlignment="1">
      <alignment horizontal="left"/>
    </xf>
    <xf numFmtId="0" fontId="49" fillId="0" borderId="0" xfId="0" applyFont="1" applyAlignment="1">
      <alignment horizontal="left" indent="1"/>
    </xf>
    <xf numFmtId="0" fontId="49" fillId="0" borderId="0" xfId="0" applyFont="1" applyAlignment="1">
      <alignment horizontal="right" vertical="center" indent="1"/>
    </xf>
    <xf numFmtId="0" fontId="57" fillId="17" borderId="0" xfId="0" applyFont="1" applyFill="1" applyAlignment="1">
      <alignment horizontal="left" indent="1"/>
    </xf>
    <xf numFmtId="0" fontId="57" fillId="17" borderId="0" xfId="0" applyFont="1" applyFill="1"/>
    <xf numFmtId="0" fontId="57" fillId="12" borderId="0" xfId="0" applyFont="1" applyFill="1" applyAlignment="1">
      <alignment horizontal="left" vertical="center" indent="1"/>
    </xf>
    <xf numFmtId="0" fontId="57" fillId="18" borderId="0" xfId="0" applyFont="1" applyFill="1" applyAlignment="1">
      <alignment horizontal="left" indent="1"/>
    </xf>
    <xf numFmtId="0" fontId="53" fillId="0" borderId="21" xfId="1" applyFont="1" applyBorder="1" applyAlignment="1">
      <alignment horizontal="centerContinuous"/>
    </xf>
    <xf numFmtId="0" fontId="53" fillId="0" borderId="22" xfId="1" applyFont="1" applyBorder="1" applyAlignment="1">
      <alignment horizontal="centerContinuous" vertical="center"/>
    </xf>
    <xf numFmtId="0" fontId="53" fillId="0" borderId="22" xfId="1" applyFont="1" applyBorder="1" applyAlignment="1">
      <alignment horizontal="centerContinuous"/>
    </xf>
    <xf numFmtId="0" fontId="45" fillId="17" borderId="1" xfId="1" applyFont="1" applyFill="1" applyBorder="1" applyAlignment="1">
      <alignment horizontal="center" vertical="center" textRotation="90" wrapText="1"/>
    </xf>
    <xf numFmtId="0" fontId="8" fillId="12" borderId="1" xfId="1" applyFont="1" applyFill="1" applyBorder="1" applyAlignment="1">
      <alignment horizontal="center" vertical="center" textRotation="90" wrapText="1"/>
    </xf>
    <xf numFmtId="0" fontId="8" fillId="18" borderId="24" xfId="1" applyFont="1" applyFill="1" applyBorder="1" applyAlignment="1">
      <alignment horizontal="center" vertical="center" textRotation="90" wrapText="1"/>
    </xf>
    <xf numFmtId="0" fontId="40" fillId="3" borderId="17" xfId="0" applyFont="1" applyFill="1" applyBorder="1" applyAlignment="1">
      <alignment horizontal="center" vertical="center"/>
    </xf>
    <xf numFmtId="0" fontId="40" fillId="3" borderId="6" xfId="0" applyFont="1" applyFill="1" applyBorder="1" applyAlignment="1">
      <alignment horizontal="center" vertical="center"/>
    </xf>
    <xf numFmtId="0" fontId="12" fillId="3" borderId="6" xfId="1" applyFont="1" applyFill="1" applyBorder="1" applyAlignment="1">
      <alignment horizontal="center" vertical="center" wrapText="1"/>
    </xf>
    <xf numFmtId="0" fontId="32" fillId="17" borderId="17" xfId="0" applyFont="1" applyFill="1" applyBorder="1" applyAlignment="1">
      <alignment horizontal="center" vertical="center"/>
    </xf>
    <xf numFmtId="0" fontId="32" fillId="12" borderId="65" xfId="0" applyFont="1" applyFill="1" applyBorder="1" applyAlignment="1">
      <alignment horizontal="center" vertical="center"/>
    </xf>
    <xf numFmtId="0" fontId="32" fillId="18" borderId="9" xfId="0" applyFont="1" applyFill="1" applyBorder="1" applyAlignment="1">
      <alignment horizontal="center" vertical="center"/>
    </xf>
    <xf numFmtId="0" fontId="12" fillId="7" borderId="57" xfId="1" applyFont="1" applyFill="1" applyBorder="1" applyAlignment="1">
      <alignment horizontal="center" vertical="center" wrapText="1"/>
    </xf>
    <xf numFmtId="0" fontId="12" fillId="7" borderId="2" xfId="1" applyFont="1" applyFill="1" applyBorder="1" applyAlignment="1">
      <alignment horizontal="center" vertical="center" wrapText="1"/>
    </xf>
    <xf numFmtId="0" fontId="40" fillId="3" borderId="5" xfId="0" applyFont="1" applyFill="1" applyBorder="1" applyAlignment="1">
      <alignment horizontal="center" vertical="center"/>
    </xf>
    <xf numFmtId="0" fontId="40" fillId="3" borderId="25" xfId="0" applyFont="1" applyFill="1" applyBorder="1" applyAlignment="1">
      <alignment horizontal="center" vertical="center"/>
    </xf>
    <xf numFmtId="165" fontId="38" fillId="7" borderId="25" xfId="1" applyNumberFormat="1" applyFont="1" applyFill="1" applyBorder="1" applyAlignment="1">
      <alignment horizontal="center" vertical="center" wrapText="1"/>
    </xf>
    <xf numFmtId="0" fontId="38" fillId="7" borderId="25" xfId="1" applyFont="1" applyFill="1" applyBorder="1" applyAlignment="1">
      <alignment horizontal="left" vertical="center" wrapText="1"/>
    </xf>
    <xf numFmtId="0" fontId="69" fillId="3" borderId="25" xfId="0" applyFont="1" applyFill="1" applyBorder="1" applyAlignment="1">
      <alignment horizontal="center" vertical="center" wrapText="1"/>
    </xf>
    <xf numFmtId="0" fontId="65" fillId="3" borderId="25" xfId="0" applyFont="1" applyFill="1" applyBorder="1" applyAlignment="1">
      <alignment horizontal="center" vertical="center" wrapText="1"/>
    </xf>
    <xf numFmtId="0" fontId="40" fillId="7" borderId="4" xfId="0" applyFont="1" applyFill="1" applyBorder="1" applyAlignment="1">
      <alignment horizontal="center" vertical="center" wrapText="1"/>
    </xf>
    <xf numFmtId="0" fontId="12" fillId="7" borderId="25" xfId="1" applyFont="1" applyFill="1" applyBorder="1" applyAlignment="1">
      <alignment horizontal="left" vertical="center" wrapText="1"/>
    </xf>
    <xf numFmtId="0" fontId="32" fillId="7" borderId="4" xfId="0" applyFont="1" applyFill="1" applyBorder="1" applyAlignment="1">
      <alignment horizontal="center" vertical="center"/>
    </xf>
    <xf numFmtId="0" fontId="8" fillId="10" borderId="0" xfId="1" applyFont="1" applyFill="1" applyAlignment="1">
      <alignment horizontal="left"/>
    </xf>
    <xf numFmtId="0" fontId="0" fillId="0" borderId="0" xfId="0" applyAlignment="1">
      <alignment horizontal="right" vertical="center"/>
    </xf>
    <xf numFmtId="0" fontId="30" fillId="2" borderId="0" xfId="0" applyFont="1" applyFill="1" applyAlignment="1">
      <alignment horizontal="left" vertical="center"/>
    </xf>
    <xf numFmtId="0" fontId="56" fillId="3" borderId="0" xfId="0" applyFont="1" applyFill="1"/>
    <xf numFmtId="0" fontId="62" fillId="0" borderId="0" xfId="11" applyAlignment="1">
      <alignment horizontal="left" indent="1"/>
    </xf>
    <xf numFmtId="0" fontId="84" fillId="3" borderId="25" xfId="0" applyFont="1" applyFill="1" applyBorder="1" applyAlignment="1">
      <alignment horizontal="center" vertical="center"/>
    </xf>
    <xf numFmtId="0" fontId="5" fillId="2" borderId="25" xfId="0" applyFont="1" applyFill="1" applyBorder="1" applyAlignment="1">
      <alignment horizontal="center" vertical="center"/>
    </xf>
    <xf numFmtId="14" fontId="5" fillId="2" borderId="25" xfId="0" applyNumberFormat="1" applyFont="1" applyFill="1" applyBorder="1" applyAlignment="1">
      <alignment horizontal="center" vertical="center"/>
    </xf>
    <xf numFmtId="0" fontId="5" fillId="2" borderId="25" xfId="0" applyFont="1" applyFill="1" applyBorder="1" applyAlignment="1">
      <alignment vertical="top" wrapText="1"/>
    </xf>
    <xf numFmtId="0" fontId="86" fillId="0" borderId="0" xfId="0" applyFont="1" applyAlignment="1">
      <alignment horizontal="center" vertical="top"/>
    </xf>
    <xf numFmtId="0" fontId="6" fillId="0" borderId="0" xfId="10"/>
    <xf numFmtId="3" fontId="87" fillId="0" borderId="0" xfId="12" applyNumberFormat="1" applyFont="1"/>
    <xf numFmtId="0" fontId="32" fillId="0" borderId="0" xfId="0" applyFont="1" applyAlignment="1">
      <alignment horizontal="right" vertical="center" indent="1"/>
    </xf>
    <xf numFmtId="0" fontId="85" fillId="0" borderId="16" xfId="0" applyFont="1" applyBorder="1" applyAlignment="1">
      <alignment horizontal="left" vertical="top"/>
    </xf>
    <xf numFmtId="0" fontId="6" fillId="2" borderId="0" xfId="0" applyFont="1" applyFill="1" applyProtection="1">
      <protection locked="0"/>
    </xf>
    <xf numFmtId="0" fontId="32" fillId="0" borderId="0" xfId="0" quotePrefix="1" applyFont="1"/>
    <xf numFmtId="2" fontId="9" fillId="21" borderId="25" xfId="0" applyNumberFormat="1" applyFont="1" applyFill="1" applyBorder="1" applyAlignment="1" applyProtection="1">
      <alignment horizontal="center" vertical="center"/>
      <protection locked="0"/>
    </xf>
    <xf numFmtId="0" fontId="23" fillId="0" borderId="26" xfId="0" applyFont="1" applyBorder="1" applyAlignment="1">
      <alignment horizontal="centerContinuous" vertical="center"/>
    </xf>
    <xf numFmtId="0" fontId="88" fillId="0" borderId="0" xfId="1" applyFont="1"/>
    <xf numFmtId="0" fontId="40" fillId="0" borderId="0" xfId="1" applyFont="1"/>
    <xf numFmtId="0" fontId="44" fillId="0" borderId="0" xfId="0" applyFont="1" applyAlignment="1">
      <alignment horizontal="left" vertical="center" indent="1"/>
    </xf>
    <xf numFmtId="0" fontId="6" fillId="0" borderId="48" xfId="0" applyFont="1" applyBorder="1" applyAlignment="1">
      <alignment wrapText="1"/>
    </xf>
    <xf numFmtId="0" fontId="6" fillId="0" borderId="49" xfId="0" applyFont="1" applyBorder="1" applyAlignment="1">
      <alignment wrapText="1"/>
    </xf>
    <xf numFmtId="0" fontId="6" fillId="0" borderId="47" xfId="0" applyFont="1" applyBorder="1"/>
    <xf numFmtId="165" fontId="12" fillId="7" borderId="25" xfId="1" applyNumberFormat="1" applyFont="1" applyFill="1" applyBorder="1" applyAlignment="1">
      <alignment horizontal="center" vertical="center" wrapText="1"/>
    </xf>
    <xf numFmtId="165" fontId="5" fillId="0" borderId="42" xfId="0" applyNumberFormat="1" applyFont="1" applyBorder="1" applyAlignment="1">
      <alignment horizontal="center"/>
    </xf>
    <xf numFmtId="0" fontId="38" fillId="0" borderId="0" xfId="1" applyFont="1" applyAlignment="1">
      <alignment horizontal="center" vertical="center" wrapText="1"/>
    </xf>
    <xf numFmtId="11" fontId="6" fillId="0" borderId="0" xfId="0" applyNumberFormat="1" applyFont="1"/>
    <xf numFmtId="0" fontId="1" fillId="10" borderId="25" xfId="1" quotePrefix="1" applyFont="1" applyFill="1" applyBorder="1" applyAlignment="1">
      <alignment horizontal="center"/>
    </xf>
    <xf numFmtId="0" fontId="45" fillId="0" borderId="0" xfId="1" applyFont="1"/>
    <xf numFmtId="0" fontId="47" fillId="0" borderId="0" xfId="1" applyFont="1"/>
    <xf numFmtId="0" fontId="6" fillId="0" borderId="26" xfId="0" applyFont="1" applyBorder="1" applyAlignment="1">
      <alignment vertical="top" wrapText="1"/>
    </xf>
    <xf numFmtId="175" fontId="45" fillId="3" borderId="0" xfId="0" applyNumberFormat="1" applyFont="1" applyFill="1" applyAlignment="1">
      <alignment horizontal="center"/>
    </xf>
    <xf numFmtId="0" fontId="81" fillId="3" borderId="0" xfId="1" applyFont="1" applyFill="1" applyAlignment="1">
      <alignment horizontal="center"/>
    </xf>
    <xf numFmtId="0" fontId="6" fillId="0" borderId="0" xfId="0" applyFont="1" applyAlignment="1">
      <alignment vertical="top"/>
    </xf>
    <xf numFmtId="0" fontId="32" fillId="2" borderId="4" xfId="0" applyFont="1" applyFill="1" applyBorder="1" applyAlignment="1" applyProtection="1">
      <alignment horizontal="center" vertical="center"/>
      <protection locked="0"/>
    </xf>
    <xf numFmtId="177" fontId="0" fillId="2" borderId="25" xfId="0" applyNumberFormat="1" applyFill="1" applyBorder="1" applyAlignment="1" applyProtection="1">
      <alignment horizontal="center" vertical="center"/>
      <protection locked="0"/>
    </xf>
    <xf numFmtId="0" fontId="6" fillId="2" borderId="26" xfId="0" applyFont="1" applyFill="1" applyBorder="1" applyAlignment="1" applyProtection="1">
      <alignment horizontal="left" vertical="center"/>
      <protection locked="0"/>
    </xf>
    <xf numFmtId="0" fontId="0" fillId="2" borderId="26" xfId="0" applyFill="1" applyBorder="1" applyAlignment="1" applyProtection="1">
      <alignment horizontal="left" vertical="center"/>
      <protection locked="0"/>
    </xf>
    <xf numFmtId="0" fontId="50" fillId="3" borderId="0" xfId="0" applyFont="1" applyFill="1" applyAlignment="1">
      <alignment horizontal="center"/>
    </xf>
    <xf numFmtId="0" fontId="8" fillId="7" borderId="25" xfId="1" applyFont="1" applyFill="1" applyBorder="1" applyAlignment="1">
      <alignment horizontal="center" vertical="center" textRotation="90" wrapText="1"/>
    </xf>
    <xf numFmtId="0" fontId="0" fillId="10" borderId="4" xfId="0" applyFill="1" applyBorder="1" applyAlignment="1">
      <alignment horizontal="centerContinuous"/>
    </xf>
    <xf numFmtId="0" fontId="1" fillId="2" borderId="19" xfId="1" applyFont="1" applyFill="1" applyBorder="1" applyAlignment="1">
      <alignment horizontal="center" vertical="center" textRotation="90" wrapText="1"/>
    </xf>
    <xf numFmtId="0" fontId="1" fillId="2" borderId="2" xfId="1" applyFont="1" applyFill="1" applyBorder="1" applyAlignment="1">
      <alignment horizontal="center" vertical="center" textRotation="90" wrapText="1"/>
    </xf>
    <xf numFmtId="0" fontId="81" fillId="2" borderId="2" xfId="1" applyFont="1" applyFill="1" applyBorder="1" applyAlignment="1">
      <alignment horizontal="center" vertical="center" textRotation="90" wrapText="1"/>
    </xf>
    <xf numFmtId="0" fontId="89" fillId="0" borderId="0" xfId="0" applyFont="1" applyAlignment="1">
      <alignment horizontal="left" vertical="center"/>
    </xf>
    <xf numFmtId="0" fontId="0" fillId="0" borderId="0" xfId="0" applyAlignment="1">
      <alignment horizontal="left"/>
    </xf>
    <xf numFmtId="0" fontId="6" fillId="0" borderId="25" xfId="0" applyFont="1" applyBorder="1" applyAlignment="1">
      <alignment horizontal="center" wrapText="1"/>
    </xf>
    <xf numFmtId="0" fontId="22" fillId="0" borderId="25" xfId="0" applyFont="1" applyBorder="1" applyAlignment="1">
      <alignment horizontal="center" vertical="center" wrapText="1"/>
    </xf>
    <xf numFmtId="0" fontId="5" fillId="0" borderId="25" xfId="0" applyFont="1" applyBorder="1" applyAlignment="1">
      <alignment horizontal="center" vertical="center"/>
    </xf>
    <xf numFmtId="0" fontId="26" fillId="0" borderId="36" xfId="0" applyFont="1" applyBorder="1" applyAlignment="1">
      <alignment horizontal="center" vertical="center" wrapText="1"/>
    </xf>
    <xf numFmtId="0" fontId="21" fillId="0" borderId="34" xfId="0" applyFont="1" applyBorder="1" applyAlignment="1">
      <alignment horizontal="center" vertical="center" wrapText="1"/>
    </xf>
    <xf numFmtId="0" fontId="21" fillId="0" borderId="25" xfId="0" applyFont="1" applyBorder="1" applyAlignment="1">
      <alignment horizontal="center" vertical="center" wrapText="1"/>
    </xf>
    <xf numFmtId="0" fontId="1" fillId="0" borderId="0" xfId="1" applyFont="1" applyAlignment="1">
      <alignment horizontal="center"/>
    </xf>
    <xf numFmtId="0" fontId="1" fillId="0" borderId="0" xfId="1" applyFont="1"/>
    <xf numFmtId="0" fontId="1" fillId="0" borderId="0" xfId="1" applyFont="1" applyAlignment="1">
      <alignment horizontal="right"/>
    </xf>
    <xf numFmtId="0" fontId="1" fillId="0" borderId="0" xfId="1" applyFont="1" applyAlignment="1">
      <alignment vertical="center"/>
    </xf>
    <xf numFmtId="0" fontId="1" fillId="0" borderId="19" xfId="1" applyFont="1" applyBorder="1"/>
    <xf numFmtId="0" fontId="1" fillId="0" borderId="19" xfId="1" applyFont="1" applyBorder="1" applyAlignment="1">
      <alignment horizontal="center"/>
    </xf>
    <xf numFmtId="0" fontId="1" fillId="0" borderId="0" xfId="1" applyFont="1" applyAlignment="1">
      <alignment horizontal="right" indent="1"/>
    </xf>
    <xf numFmtId="0" fontId="1" fillId="2" borderId="27" xfId="1" applyFont="1" applyFill="1" applyBorder="1" applyAlignment="1">
      <alignment horizontal="centerContinuous"/>
    </xf>
    <xf numFmtId="0" fontId="1" fillId="7" borderId="27" xfId="1" applyFont="1" applyFill="1" applyBorder="1" applyAlignment="1">
      <alignment horizontal="left"/>
    </xf>
    <xf numFmtId="0" fontId="1" fillId="7" borderId="25" xfId="1" applyFont="1" applyFill="1" applyBorder="1" applyAlignment="1">
      <alignment horizontal="left"/>
    </xf>
    <xf numFmtId="0" fontId="1" fillId="7" borderId="27" xfId="1" applyFont="1" applyFill="1" applyBorder="1" applyAlignment="1">
      <alignment horizontal="left" indent="1"/>
    </xf>
    <xf numFmtId="0" fontId="1" fillId="7" borderId="70" xfId="1" applyFont="1" applyFill="1" applyBorder="1" applyAlignment="1">
      <alignment horizontal="left"/>
    </xf>
    <xf numFmtId="0" fontId="1" fillId="7" borderId="67" xfId="1" applyFont="1" applyFill="1" applyBorder="1" applyAlignment="1">
      <alignment horizontal="left"/>
    </xf>
    <xf numFmtId="0" fontId="1" fillId="2" borderId="25" xfId="1" applyFont="1" applyFill="1" applyBorder="1" applyAlignment="1">
      <alignment horizontal="center" vertical="center" textRotation="90" wrapText="1"/>
    </xf>
    <xf numFmtId="0" fontId="1" fillId="2" borderId="2" xfId="1" applyFont="1" applyFill="1" applyBorder="1" applyAlignment="1">
      <alignment horizontal="center" vertical="center" textRotation="90"/>
    </xf>
    <xf numFmtId="0" fontId="1" fillId="2" borderId="52" xfId="1" applyFont="1" applyFill="1" applyBorder="1" applyAlignment="1">
      <alignment horizontal="center" vertical="center" textRotation="90" wrapText="1"/>
    </xf>
    <xf numFmtId="0" fontId="1" fillId="3" borderId="25" xfId="1" applyFont="1" applyFill="1" applyBorder="1" applyAlignment="1">
      <alignment horizontal="center"/>
    </xf>
    <xf numFmtId="0" fontId="1" fillId="10" borderId="25" xfId="1" applyFont="1" applyFill="1" applyBorder="1" applyAlignment="1">
      <alignment horizontal="center"/>
    </xf>
    <xf numFmtId="0" fontId="1" fillId="10" borderId="26" xfId="1" quotePrefix="1" applyFont="1" applyFill="1" applyBorder="1" applyAlignment="1">
      <alignment horizontal="center" wrapText="1"/>
    </xf>
    <xf numFmtId="0" fontId="1" fillId="7" borderId="25" xfId="1" applyFont="1" applyFill="1" applyBorder="1" applyAlignment="1">
      <alignment horizontal="center"/>
    </xf>
    <xf numFmtId="0" fontId="1" fillId="7" borderId="25" xfId="1" quotePrefix="1" applyFont="1" applyFill="1" applyBorder="1" applyAlignment="1">
      <alignment horizontal="left" vertical="center"/>
    </xf>
    <xf numFmtId="0" fontId="1" fillId="7" borderId="25" xfId="1" applyFont="1" applyFill="1" applyBorder="1"/>
    <xf numFmtId="0" fontId="1" fillId="16" borderId="25" xfId="1" applyFont="1" applyFill="1" applyBorder="1" applyAlignment="1">
      <alignment horizontal="center"/>
    </xf>
    <xf numFmtId="0" fontId="1" fillId="16" borderId="25" xfId="1" applyFont="1" applyFill="1" applyBorder="1" applyAlignment="1">
      <alignment horizontal="center" wrapText="1"/>
    </xf>
    <xf numFmtId="0" fontId="1" fillId="10" borderId="4" xfId="1" applyFont="1" applyFill="1" applyBorder="1" applyAlignment="1">
      <alignment horizontal="center"/>
    </xf>
    <xf numFmtId="0" fontId="1" fillId="7" borderId="25" xfId="1" quotePrefix="1" applyFont="1" applyFill="1" applyBorder="1" applyAlignment="1">
      <alignment horizontal="center"/>
    </xf>
    <xf numFmtId="0" fontId="1" fillId="7" borderId="25" xfId="1" quotePrefix="1" applyFont="1" applyFill="1" applyBorder="1"/>
    <xf numFmtId="0" fontId="1" fillId="10" borderId="26" xfId="1" applyFont="1" applyFill="1" applyBorder="1" applyAlignment="1">
      <alignment horizontal="center"/>
    </xf>
    <xf numFmtId="0" fontId="1" fillId="10" borderId="0" xfId="1" applyFont="1" applyFill="1"/>
    <xf numFmtId="0" fontId="1" fillId="7" borderId="25" xfId="1" applyFont="1" applyFill="1" applyBorder="1" applyAlignment="1">
      <alignment horizontal="left" vertical="center"/>
    </xf>
    <xf numFmtId="0" fontId="1" fillId="0" borderId="25" xfId="1" applyFont="1" applyBorder="1"/>
    <xf numFmtId="0" fontId="1" fillId="3" borderId="24" xfId="9" applyFont="1" applyFill="1" applyBorder="1" applyAlignment="1">
      <alignment horizontal="center" vertical="center"/>
    </xf>
    <xf numFmtId="3" fontId="1" fillId="0" borderId="0" xfId="12" applyNumberFormat="1" applyFont="1"/>
    <xf numFmtId="0" fontId="32" fillId="22" borderId="5" xfId="0" applyFont="1" applyFill="1" applyBorder="1" applyAlignment="1">
      <alignment horizontal="center" vertical="center"/>
    </xf>
    <xf numFmtId="0" fontId="32" fillId="22" borderId="25" xfId="0" applyFont="1" applyFill="1" applyBorder="1" applyAlignment="1">
      <alignment horizontal="center" vertical="center"/>
    </xf>
    <xf numFmtId="0" fontId="32" fillId="22" borderId="27" xfId="0" applyFont="1" applyFill="1" applyBorder="1" applyAlignment="1">
      <alignment horizontal="center" vertical="center"/>
    </xf>
    <xf numFmtId="0" fontId="32" fillId="22" borderId="3" xfId="0" applyFont="1" applyFill="1" applyBorder="1" applyAlignment="1">
      <alignment horizontal="center" vertical="center"/>
    </xf>
    <xf numFmtId="0" fontId="38" fillId="22" borderId="4" xfId="1" applyFont="1" applyFill="1" applyBorder="1" applyAlignment="1">
      <alignment horizontal="center" vertical="center" wrapText="1"/>
    </xf>
    <xf numFmtId="165" fontId="32" fillId="22" borderId="25" xfId="0" applyNumberFormat="1" applyFont="1" applyFill="1" applyBorder="1" applyAlignment="1">
      <alignment horizontal="center" vertical="center"/>
    </xf>
    <xf numFmtId="0" fontId="38" fillId="22" borderId="25" xfId="1" quotePrefix="1" applyFont="1" applyFill="1" applyBorder="1" applyAlignment="1">
      <alignment horizontal="center" vertical="center" wrapText="1"/>
    </xf>
    <xf numFmtId="0" fontId="38" fillId="22" borderId="25" xfId="1" applyFont="1" applyFill="1" applyBorder="1" applyAlignment="1">
      <alignment horizontal="center" vertical="center" wrapText="1"/>
    </xf>
    <xf numFmtId="0" fontId="32" fillId="22" borderId="25" xfId="0" applyFont="1" applyFill="1" applyBorder="1" applyAlignment="1">
      <alignment horizontal="left" vertical="center"/>
    </xf>
    <xf numFmtId="164" fontId="32" fillId="22" borderId="25" xfId="0" applyNumberFormat="1" applyFont="1" applyFill="1" applyBorder="1" applyAlignment="1">
      <alignment horizontal="center" vertical="center"/>
    </xf>
    <xf numFmtId="1" fontId="32" fillId="22" borderId="25" xfId="0" applyNumberFormat="1" applyFont="1" applyFill="1" applyBorder="1" applyAlignment="1">
      <alignment horizontal="center" vertical="center"/>
    </xf>
    <xf numFmtId="165" fontId="38" fillId="22" borderId="25" xfId="1" applyNumberFormat="1" applyFont="1" applyFill="1" applyBorder="1" applyAlignment="1">
      <alignment horizontal="center" vertical="center" wrapText="1"/>
    </xf>
    <xf numFmtId="0" fontId="38" fillId="22" borderId="25" xfId="1" applyFont="1" applyFill="1" applyBorder="1" applyAlignment="1">
      <alignment horizontal="left" vertical="center"/>
    </xf>
    <xf numFmtId="0" fontId="47" fillId="23" borderId="25" xfId="0" applyFont="1" applyFill="1" applyBorder="1"/>
    <xf numFmtId="0" fontId="47" fillId="23" borderId="25" xfId="8" applyNumberFormat="1" applyFont="1" applyFill="1" applyBorder="1" applyAlignment="1"/>
    <xf numFmtId="0" fontId="0" fillId="23" borderId="25" xfId="0" applyFill="1" applyBorder="1"/>
    <xf numFmtId="14" fontId="0" fillId="23" borderId="25" xfId="0" applyNumberFormat="1" applyFill="1" applyBorder="1" applyAlignment="1">
      <alignment horizontal="center"/>
    </xf>
    <xf numFmtId="0" fontId="0" fillId="23" borderId="25" xfId="0" applyFill="1" applyBorder="1" applyAlignment="1">
      <alignment wrapText="1"/>
    </xf>
    <xf numFmtId="0" fontId="6" fillId="24" borderId="25" xfId="0" applyFont="1" applyFill="1" applyBorder="1"/>
    <xf numFmtId="14" fontId="0" fillId="24" borderId="25" xfId="0" applyNumberFormat="1" applyFill="1" applyBorder="1" applyAlignment="1">
      <alignment horizontal="center"/>
    </xf>
    <xf numFmtId="0" fontId="6" fillId="24" borderId="25" xfId="0" applyFont="1" applyFill="1" applyBorder="1" applyAlignment="1">
      <alignment wrapText="1"/>
    </xf>
    <xf numFmtId="0" fontId="5" fillId="24" borderId="25" xfId="0" applyFont="1" applyFill="1" applyBorder="1" applyAlignment="1">
      <alignment horizontal="center"/>
    </xf>
    <xf numFmtId="0" fontId="1" fillId="22" borderId="25" xfId="1" applyFont="1" applyFill="1" applyBorder="1" applyAlignment="1">
      <alignment horizontal="left"/>
    </xf>
    <xf numFmtId="14" fontId="0" fillId="22" borderId="25" xfId="0" applyNumberFormat="1" applyFill="1" applyBorder="1" applyAlignment="1">
      <alignment horizontal="center"/>
    </xf>
    <xf numFmtId="0" fontId="0" fillId="22" borderId="25" xfId="0" applyFill="1" applyBorder="1" applyAlignment="1">
      <alignment wrapText="1"/>
    </xf>
    <xf numFmtId="0" fontId="6" fillId="22" borderId="25" xfId="0" applyFont="1" applyFill="1" applyBorder="1"/>
    <xf numFmtId="0" fontId="1" fillId="22" borderId="25" xfId="1" quotePrefix="1" applyFont="1" applyFill="1" applyBorder="1" applyAlignment="1">
      <alignment horizontal="left" vertical="center"/>
    </xf>
    <xf numFmtId="177" fontId="6" fillId="2" borderId="25" xfId="0" applyNumberFormat="1" applyFont="1" applyFill="1" applyBorder="1" applyAlignment="1" applyProtection="1">
      <alignment horizontal="center" vertical="center"/>
      <protection locked="0"/>
    </xf>
    <xf numFmtId="0" fontId="1" fillId="22" borderId="25" xfId="1" quotePrefix="1" applyFont="1" applyFill="1" applyBorder="1" applyAlignment="1">
      <alignment horizontal="center"/>
    </xf>
    <xf numFmtId="0" fontId="1" fillId="22" borderId="4" xfId="1" applyFont="1" applyFill="1" applyBorder="1" applyAlignment="1">
      <alignment horizontal="center"/>
    </xf>
    <xf numFmtId="0" fontId="1" fillId="22" borderId="25" xfId="1" applyFont="1" applyFill="1" applyBorder="1" applyAlignment="1">
      <alignment horizontal="center"/>
    </xf>
    <xf numFmtId="0" fontId="6" fillId="0" borderId="25" xfId="0" applyFont="1" applyBorder="1" applyAlignment="1">
      <alignment horizontal="center" wrapText="1"/>
    </xf>
    <xf numFmtId="0" fontId="59" fillId="0" borderId="0" xfId="0" applyFont="1" applyAlignment="1">
      <alignment horizontal="center"/>
    </xf>
    <xf numFmtId="0" fontId="60" fillId="0" borderId="0" xfId="1" applyFont="1" applyAlignment="1">
      <alignment horizontal="center"/>
    </xf>
    <xf numFmtId="0" fontId="1" fillId="0" borderId="71" xfId="1" applyFont="1" applyBorder="1" applyAlignment="1">
      <alignment horizontal="center"/>
    </xf>
    <xf numFmtId="0" fontId="1" fillId="0" borderId="72" xfId="1" applyFont="1" applyBorder="1" applyAlignment="1">
      <alignment horizontal="center"/>
    </xf>
    <xf numFmtId="0" fontId="9" fillId="2" borderId="26" xfId="0" applyFont="1" applyFill="1" applyBorder="1" applyAlignment="1" applyProtection="1">
      <alignment horizontal="left" vertical="center"/>
      <protection locked="0"/>
    </xf>
    <xf numFmtId="0" fontId="9" fillId="2" borderId="27" xfId="0" applyFont="1" applyFill="1" applyBorder="1" applyAlignment="1" applyProtection="1">
      <alignment horizontal="left" vertical="center"/>
      <protection locked="0"/>
    </xf>
    <xf numFmtId="0" fontId="9" fillId="2" borderId="4" xfId="0" applyFont="1" applyFill="1" applyBorder="1" applyAlignment="1" applyProtection="1">
      <alignment horizontal="left" vertical="center"/>
      <protection locked="0"/>
    </xf>
    <xf numFmtId="0" fontId="48" fillId="16" borderId="25" xfId="0" applyFont="1" applyFill="1" applyBorder="1" applyAlignment="1" applyProtection="1">
      <alignment horizontal="left" vertical="center"/>
      <protection locked="0"/>
    </xf>
    <xf numFmtId="0" fontId="48" fillId="16" borderId="29" xfId="0" applyFont="1" applyFill="1" applyBorder="1" applyAlignment="1" applyProtection="1">
      <alignment horizontal="left" vertical="center"/>
      <protection locked="0"/>
    </xf>
    <xf numFmtId="0" fontId="9" fillId="2" borderId="25" xfId="0" applyFont="1" applyFill="1" applyBorder="1" applyAlignment="1" applyProtection="1">
      <alignment horizontal="left" vertical="center"/>
      <protection locked="0"/>
    </xf>
    <xf numFmtId="0" fontId="0" fillId="0" borderId="0" xfId="0" applyAlignment="1">
      <alignment horizontal="left" vertical="top"/>
    </xf>
    <xf numFmtId="0" fontId="0" fillId="0" borderId="16" xfId="0" applyBorder="1" applyAlignment="1">
      <alignment horizontal="left" vertical="top"/>
    </xf>
    <xf numFmtId="0" fontId="6" fillId="0" borderId="47" xfId="0" applyFont="1" applyBorder="1" applyAlignment="1">
      <alignment horizontal="center" wrapText="1"/>
    </xf>
    <xf numFmtId="0" fontId="6" fillId="0" borderId="48" xfId="0" applyFont="1" applyBorder="1" applyAlignment="1">
      <alignment horizontal="center" wrapText="1"/>
    </xf>
    <xf numFmtId="0" fontId="6" fillId="0" borderId="49" xfId="0" applyFont="1" applyBorder="1" applyAlignment="1">
      <alignment horizontal="center" wrapText="1"/>
    </xf>
    <xf numFmtId="0" fontId="6" fillId="0" borderId="50" xfId="0" applyFont="1" applyBorder="1" applyAlignment="1">
      <alignment horizontal="center" wrapText="1"/>
    </xf>
    <xf numFmtId="0" fontId="6" fillId="0" borderId="16" xfId="0" applyFont="1" applyBorder="1" applyAlignment="1">
      <alignment horizontal="center" wrapText="1"/>
    </xf>
    <xf numFmtId="0" fontId="6" fillId="0" borderId="51" xfId="0" applyFont="1" applyBorder="1" applyAlignment="1">
      <alignment horizontal="center" wrapText="1"/>
    </xf>
    <xf numFmtId="0" fontId="6" fillId="0" borderId="42" xfId="0" applyFont="1" applyBorder="1" applyAlignment="1">
      <alignment horizontal="center" vertical="center" wrapText="1"/>
    </xf>
    <xf numFmtId="0" fontId="0" fillId="0" borderId="25" xfId="0" applyBorder="1" applyAlignment="1">
      <alignment horizontal="center" vertical="center" wrapText="1"/>
    </xf>
    <xf numFmtId="0" fontId="0" fillId="0" borderId="43" xfId="0" applyBorder="1" applyAlignment="1">
      <alignment horizontal="center" vertical="center" wrapText="1"/>
    </xf>
    <xf numFmtId="0" fontId="22" fillId="0" borderId="25" xfId="0" applyFont="1" applyBorder="1" applyAlignment="1">
      <alignment horizontal="center" vertical="center" wrapText="1"/>
    </xf>
    <xf numFmtId="0" fontId="0" fillId="0" borderId="0" xfId="0" applyAlignment="1">
      <alignment horizontal="center" vertical="center" textRotation="90"/>
    </xf>
    <xf numFmtId="0" fontId="5" fillId="0" borderId="25" xfId="0" applyFont="1" applyBorder="1" applyAlignment="1">
      <alignment horizontal="center" vertical="center"/>
    </xf>
    <xf numFmtId="0" fontId="6" fillId="0" borderId="53" xfId="0" applyFont="1" applyBorder="1" applyAlignment="1">
      <alignment horizontal="center" vertical="center" wrapText="1"/>
    </xf>
    <xf numFmtId="0" fontId="6" fillId="0" borderId="27" xfId="0" applyFont="1" applyBorder="1" applyAlignment="1">
      <alignment horizontal="center" vertical="center" wrapText="1"/>
    </xf>
    <xf numFmtId="0" fontId="6" fillId="0" borderId="54" xfId="0" applyFont="1" applyBorder="1" applyAlignment="1">
      <alignment horizontal="center" vertical="center" wrapText="1"/>
    </xf>
    <xf numFmtId="0" fontId="26" fillId="0" borderId="36" xfId="0" applyFont="1" applyBorder="1" applyAlignment="1">
      <alignment horizontal="center" vertical="center" wrapText="1"/>
    </xf>
    <xf numFmtId="0" fontId="26" fillId="0" borderId="32" xfId="0" applyFont="1" applyBorder="1" applyAlignment="1">
      <alignment horizontal="center" vertical="center" wrapText="1"/>
    </xf>
    <xf numFmtId="174" fontId="29" fillId="0" borderId="34" xfId="0" applyNumberFormat="1" applyFont="1" applyBorder="1" applyAlignment="1">
      <alignment horizontal="center" vertical="center" wrapText="1"/>
    </xf>
    <xf numFmtId="0" fontId="6" fillId="0" borderId="0" xfId="0" applyFont="1" applyAlignment="1">
      <alignment horizontal="center" vertical="center" wrapText="1"/>
    </xf>
    <xf numFmtId="0" fontId="0" fillId="0" borderId="0" xfId="0" applyAlignment="1">
      <alignment horizontal="center" vertical="center" wrapText="1"/>
    </xf>
    <xf numFmtId="0" fontId="0" fillId="0" borderId="16" xfId="0" applyBorder="1" applyAlignment="1">
      <alignment horizontal="center" vertical="center" wrapText="1"/>
    </xf>
    <xf numFmtId="0" fontId="21" fillId="5" borderId="25" xfId="0" applyFont="1" applyFill="1" applyBorder="1" applyAlignment="1">
      <alignment horizontal="left" vertical="top" wrapText="1"/>
    </xf>
    <xf numFmtId="0" fontId="21" fillId="5" borderId="31" xfId="0" applyFont="1" applyFill="1" applyBorder="1" applyAlignment="1">
      <alignment horizontal="left" vertical="top"/>
    </xf>
    <xf numFmtId="0" fontId="21" fillId="5" borderId="0" xfId="0" applyFont="1" applyFill="1" applyAlignment="1">
      <alignment horizontal="left" vertical="top"/>
    </xf>
    <xf numFmtId="0" fontId="21" fillId="0" borderId="37" xfId="0" applyFont="1" applyBorder="1" applyAlignment="1">
      <alignment horizontal="center" vertical="top" wrapText="1"/>
    </xf>
    <xf numFmtId="0" fontId="21" fillId="0" borderId="38" xfId="0" applyFont="1" applyBorder="1" applyAlignment="1">
      <alignment horizontal="center" vertical="top" wrapText="1"/>
    </xf>
    <xf numFmtId="0" fontId="26" fillId="0" borderId="36" xfId="0" applyFont="1" applyBorder="1" applyAlignment="1">
      <alignment horizontal="center" vertical="top" wrapText="1"/>
    </xf>
    <xf numFmtId="0" fontId="26" fillId="0" borderId="32" xfId="0" applyFont="1" applyBorder="1" applyAlignment="1">
      <alignment horizontal="center" vertical="top" wrapText="1"/>
    </xf>
    <xf numFmtId="0" fontId="21" fillId="0" borderId="34" xfId="0" applyFont="1" applyBorder="1" applyAlignment="1">
      <alignment horizontal="center" vertical="center" wrapText="1"/>
    </xf>
    <xf numFmtId="0" fontId="22" fillId="0" borderId="34" xfId="0" applyFont="1" applyBorder="1" applyAlignment="1">
      <alignment horizontal="center" vertical="center" wrapText="1"/>
    </xf>
    <xf numFmtId="0" fontId="21" fillId="0" borderId="25" xfId="0" applyFont="1" applyBorder="1" applyAlignment="1">
      <alignment horizontal="center" vertical="center" wrapText="1"/>
    </xf>
    <xf numFmtId="0" fontId="21" fillId="5" borderId="0" xfId="0" applyFont="1" applyFill="1" applyAlignment="1">
      <alignment horizontal="center" vertical="top" wrapText="1"/>
    </xf>
    <xf numFmtId="0" fontId="21" fillId="5" borderId="33" xfId="0" applyFont="1" applyFill="1" applyBorder="1" applyAlignment="1">
      <alignment horizontal="center" vertical="top" wrapText="1"/>
    </xf>
  </cellXfs>
  <cellStyles count="13">
    <cellStyle name="Date" xfId="2" xr:uid="{00000000-0005-0000-0000-000000000000}"/>
    <cellStyle name="Fixed" xfId="3" xr:uid="{00000000-0005-0000-0000-000001000000}"/>
    <cellStyle name="Heading1" xfId="4" xr:uid="{00000000-0005-0000-0000-000002000000}"/>
    <cellStyle name="Heading2" xfId="5" xr:uid="{00000000-0005-0000-0000-000003000000}"/>
    <cellStyle name="Hyperlink" xfId="11" builtinId="8"/>
    <cellStyle name="Normal" xfId="0" builtinId="0"/>
    <cellStyle name="Normal 2" xfId="1" xr:uid="{00000000-0005-0000-0000-000006000000}"/>
    <cellStyle name="Normal 2 2" xfId="10" xr:uid="{00000000-0005-0000-0000-000007000000}"/>
    <cellStyle name="Normal 20" xfId="7" xr:uid="{00000000-0005-0000-0000-000008000000}"/>
    <cellStyle name="Normal 3" xfId="9" xr:uid="{00000000-0005-0000-0000-000009000000}"/>
    <cellStyle name="Normal 41" xfId="12" xr:uid="{00000000-0005-0000-0000-00000A000000}"/>
    <cellStyle name="Percent" xfId="8" builtinId="5"/>
    <cellStyle name="Percent 2" xfId="6" xr:uid="{00000000-0005-0000-0000-00000C000000}"/>
  </cellStyles>
  <dxfs count="48">
    <dxf>
      <numFmt numFmtId="1" formatCode="0"/>
    </dxf>
    <dxf>
      <numFmt numFmtId="1" formatCode="0"/>
    </dxf>
    <dxf>
      <numFmt numFmtId="1" formatCode="0"/>
    </dxf>
    <dxf>
      <numFmt numFmtId="1" formatCode="0"/>
    </dxf>
    <dxf>
      <numFmt numFmtId="1" formatCode="0"/>
    </dxf>
    <dxf>
      <numFmt numFmtId="164" formatCode="0.000"/>
    </dxf>
    <dxf>
      <numFmt numFmtId="164" formatCode="0.000"/>
    </dxf>
    <dxf>
      <numFmt numFmtId="164" formatCode="0.000"/>
    </dxf>
    <dxf>
      <numFmt numFmtId="164" formatCode="0.000"/>
    </dxf>
    <dxf>
      <numFmt numFmtId="178" formatCode="&quot;Yes&quot;;&quot;Yes&quot;;&quot;No&quot;"/>
      <fill>
        <patternFill patternType="none">
          <bgColor auto="1"/>
        </patternFill>
      </fill>
      <border>
        <left/>
        <right/>
        <top/>
        <bottom/>
        <vertical/>
        <horizontal/>
      </border>
    </dxf>
    <dxf>
      <fill>
        <patternFill>
          <bgColor rgb="FFFF0000"/>
        </patternFill>
      </fill>
    </dxf>
    <dxf>
      <fill>
        <patternFill>
          <bgColor rgb="FFFF0000"/>
        </patternFill>
      </fill>
    </dxf>
    <dxf>
      <numFmt numFmtId="179" formatCode=";;;"/>
      <fill>
        <patternFill>
          <bgColor theme="0" tint="-4.9989318521683403E-2"/>
        </patternFill>
      </fill>
    </dxf>
    <dxf>
      <numFmt numFmtId="179" formatCode=";;;"/>
      <fill>
        <patternFill patternType="none">
          <bgColor auto="1"/>
        </patternFill>
      </fill>
      <border>
        <left/>
        <right/>
        <top/>
        <bottom/>
        <vertical/>
        <horizontal/>
      </border>
    </dxf>
    <dxf>
      <numFmt numFmtId="179" formatCode=";;;"/>
      <fill>
        <patternFill patternType="none">
          <bgColor auto="1"/>
        </patternFill>
      </fill>
      <border>
        <left/>
        <right/>
        <top/>
        <bottom/>
        <vertical/>
        <horizontal/>
      </border>
    </dxf>
    <dxf>
      <fill>
        <patternFill>
          <bgColor rgb="FFFF0000"/>
        </patternFill>
      </fill>
    </dxf>
    <dxf>
      <numFmt numFmtId="179" formatCode=";;;"/>
      <fill>
        <patternFill>
          <bgColor theme="0" tint="-4.9989318521683403E-2"/>
        </patternFill>
      </fill>
    </dxf>
    <dxf>
      <fill>
        <patternFill>
          <bgColor rgb="FFFF0000"/>
        </patternFill>
      </fill>
    </dxf>
    <dxf>
      <numFmt numFmtId="179" formatCode=";;;"/>
      <fill>
        <patternFill>
          <bgColor theme="0" tint="-4.9989318521683403E-2"/>
        </patternFill>
      </fill>
    </dxf>
    <dxf>
      <fill>
        <patternFill>
          <bgColor rgb="FFFF0000"/>
        </patternFill>
      </fill>
    </dxf>
    <dxf>
      <numFmt numFmtId="179" formatCode=";;;"/>
      <fill>
        <patternFill>
          <bgColor theme="0" tint="-4.9989318521683403E-2"/>
        </patternFill>
      </fill>
    </dxf>
    <dxf>
      <numFmt numFmtId="179" formatCode=";;;"/>
      <fill>
        <patternFill patternType="none">
          <bgColor auto="1"/>
        </patternFill>
      </fill>
      <border>
        <left/>
        <right/>
        <top/>
        <bottom/>
        <vertical/>
        <horizontal/>
      </border>
    </dxf>
    <dxf>
      <font>
        <b/>
        <i val="0"/>
        <color rgb="FFFF0000"/>
      </font>
    </dxf>
    <dxf>
      <border>
        <top style="thin">
          <color auto="1"/>
        </top>
        <vertical/>
        <horizontal/>
      </border>
    </dxf>
    <dxf>
      <fill>
        <patternFill>
          <bgColor rgb="FFFF0000"/>
        </patternFill>
      </fill>
    </dxf>
    <dxf>
      <fill>
        <patternFill>
          <bgColor rgb="FFFF0000"/>
        </patternFill>
      </fill>
    </dxf>
    <dxf>
      <fill>
        <patternFill>
          <bgColor rgb="FFFF0000"/>
        </patternFill>
      </fill>
    </dxf>
    <dxf>
      <fill>
        <patternFill>
          <bgColor rgb="FFFFC000"/>
        </patternFill>
      </fill>
    </dxf>
    <dxf>
      <fill>
        <patternFill>
          <bgColor rgb="FFFF0000"/>
        </patternFill>
      </fill>
    </dxf>
    <dxf>
      <numFmt numFmtId="179" formatCode=";;;"/>
      <fill>
        <patternFill patternType="none">
          <bgColor auto="1"/>
        </patternFill>
      </fill>
      <border>
        <left/>
        <right/>
        <top/>
        <bottom/>
        <vertical/>
        <horizontal/>
      </border>
    </dxf>
    <dxf>
      <numFmt numFmtId="179" formatCode=";;;"/>
      <fill>
        <patternFill patternType="none">
          <bgColor auto="1"/>
        </patternFill>
      </fill>
      <border>
        <left/>
        <right/>
        <top/>
        <bottom/>
        <vertical/>
        <horizontal/>
      </border>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numFmt numFmtId="1" formatCode="0"/>
    </dxf>
    <dxf>
      <numFmt numFmtId="1" formatCode="0"/>
    </dxf>
    <dxf>
      <numFmt numFmtId="1" formatCode="0"/>
    </dxf>
    <dxf>
      <numFmt numFmtId="1" formatCode="0"/>
    </dxf>
    <dxf>
      <numFmt numFmtId="1" formatCode="0"/>
    </dxf>
    <dxf>
      <numFmt numFmtId="1" formatCode="0"/>
    </dxf>
    <dxf>
      <numFmt numFmtId="164" formatCode="0.000"/>
    </dxf>
    <dxf>
      <numFmt numFmtId="164" formatCode="0.000"/>
    </dxf>
    <dxf>
      <numFmt numFmtId="164" formatCode="0.000"/>
    </dxf>
    <dxf>
      <numFmt numFmtId="164" formatCode="0.000"/>
    </dxf>
    <dxf>
      <numFmt numFmtId="179" formatCode=";;;"/>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 Id="rId22" Type="http://schemas.openxmlformats.org/officeDocument/2006/relationships/customXml" Target="../customXml/item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smoothMarker"/>
        <c:varyColors val="0"/>
        <c:ser>
          <c:idx val="0"/>
          <c:order val="0"/>
          <c:tx>
            <c:strRef>
              <c:f>Ref!$B$66</c:f>
              <c:strCache>
                <c:ptCount val="1"/>
                <c:pt idx="0">
                  <c:v>tedd</c:v>
                </c:pt>
              </c:strCache>
            </c:strRef>
          </c:tx>
          <c:marker>
            <c:symbol val="none"/>
          </c:marker>
          <c:trendline>
            <c:trendlineType val="linear"/>
            <c:dispRSqr val="0"/>
            <c:dispEq val="1"/>
            <c:trendlineLbl>
              <c:numFmt formatCode="General" sourceLinked="0"/>
            </c:trendlineLbl>
          </c:trendline>
          <c:xVal>
            <c:numRef>
              <c:f>Ref!$D$65:$J$65</c:f>
              <c:numCache>
                <c:formatCode>###0;###0</c:formatCode>
                <c:ptCount val="7"/>
                <c:pt idx="0" formatCode="General">
                  <c:v>50</c:v>
                </c:pt>
                <c:pt idx="1">
                  <c:v>60</c:v>
                </c:pt>
                <c:pt idx="2">
                  <c:v>70</c:v>
                </c:pt>
                <c:pt idx="3">
                  <c:v>80</c:v>
                </c:pt>
                <c:pt idx="4">
                  <c:v>90</c:v>
                </c:pt>
                <c:pt idx="5">
                  <c:v>100</c:v>
                </c:pt>
                <c:pt idx="6">
                  <c:v>120</c:v>
                </c:pt>
              </c:numCache>
            </c:numRef>
          </c:xVal>
          <c:yVal>
            <c:numRef>
              <c:f>Ref!$D$66:$J$66</c:f>
              <c:numCache>
                <c:formatCode>###0;###0</c:formatCode>
                <c:ptCount val="7"/>
                <c:pt idx="0">
                  <c:v>35</c:v>
                </c:pt>
                <c:pt idx="1">
                  <c:v>36</c:v>
                </c:pt>
                <c:pt idx="2">
                  <c:v>37</c:v>
                </c:pt>
                <c:pt idx="3">
                  <c:v>38</c:v>
                </c:pt>
                <c:pt idx="4">
                  <c:v>39</c:v>
                </c:pt>
                <c:pt idx="5">
                  <c:v>40</c:v>
                </c:pt>
                <c:pt idx="6">
                  <c:v>42</c:v>
                </c:pt>
              </c:numCache>
            </c:numRef>
          </c:yVal>
          <c:smooth val="1"/>
          <c:extLst>
            <c:ext xmlns:c16="http://schemas.microsoft.com/office/drawing/2014/chart" uri="{C3380CC4-5D6E-409C-BE32-E72D297353CC}">
              <c16:uniqueId val="{00000000-5BB6-46C6-941F-FA2171C42150}"/>
            </c:ext>
          </c:extLst>
        </c:ser>
        <c:ser>
          <c:idx val="1"/>
          <c:order val="1"/>
          <c:tx>
            <c:strRef>
              <c:f>Ref!$C$67</c:f>
              <c:strCache>
                <c:ptCount val="1"/>
                <c:pt idx="0">
                  <c:v>RP 3yrs</c:v>
                </c:pt>
              </c:strCache>
            </c:strRef>
          </c:tx>
          <c:marker>
            <c:symbol val="none"/>
          </c:marker>
          <c:trendline>
            <c:trendlineType val="linear"/>
            <c:dispRSqr val="0"/>
            <c:dispEq val="1"/>
            <c:trendlineLbl>
              <c:numFmt formatCode="General" sourceLinked="0"/>
            </c:trendlineLbl>
          </c:trendline>
          <c:xVal>
            <c:numRef>
              <c:f>Ref!$D$65:$J$65</c:f>
              <c:numCache>
                <c:formatCode>###0;###0</c:formatCode>
                <c:ptCount val="7"/>
                <c:pt idx="0" formatCode="General">
                  <c:v>50</c:v>
                </c:pt>
                <c:pt idx="1">
                  <c:v>60</c:v>
                </c:pt>
                <c:pt idx="2">
                  <c:v>70</c:v>
                </c:pt>
                <c:pt idx="3">
                  <c:v>80</c:v>
                </c:pt>
                <c:pt idx="4">
                  <c:v>90</c:v>
                </c:pt>
                <c:pt idx="5">
                  <c:v>100</c:v>
                </c:pt>
                <c:pt idx="6">
                  <c:v>120</c:v>
                </c:pt>
              </c:numCache>
            </c:numRef>
          </c:xVal>
          <c:yVal>
            <c:numRef>
              <c:f>Ref!$D$67:$J$67</c:f>
              <c:numCache>
                <c:formatCode>###0;###0</c:formatCode>
                <c:ptCount val="7"/>
                <c:pt idx="0">
                  <c:v>32</c:v>
                </c:pt>
                <c:pt idx="1">
                  <c:v>33</c:v>
                </c:pt>
                <c:pt idx="2">
                  <c:v>34</c:v>
                </c:pt>
                <c:pt idx="3">
                  <c:v>34</c:v>
                </c:pt>
                <c:pt idx="4">
                  <c:v>35</c:v>
                </c:pt>
                <c:pt idx="5">
                  <c:v>36</c:v>
                </c:pt>
                <c:pt idx="6">
                  <c:v>37</c:v>
                </c:pt>
              </c:numCache>
            </c:numRef>
          </c:yVal>
          <c:smooth val="1"/>
          <c:extLst>
            <c:ext xmlns:c16="http://schemas.microsoft.com/office/drawing/2014/chart" uri="{C3380CC4-5D6E-409C-BE32-E72D297353CC}">
              <c16:uniqueId val="{00000001-5BB6-46C6-941F-FA2171C42150}"/>
            </c:ext>
          </c:extLst>
        </c:ser>
        <c:ser>
          <c:idx val="2"/>
          <c:order val="2"/>
          <c:tx>
            <c:strRef>
              <c:f>Ref!$C$68</c:f>
              <c:strCache>
                <c:ptCount val="1"/>
                <c:pt idx="0">
                  <c:v>RP 50yrs</c:v>
                </c:pt>
              </c:strCache>
            </c:strRef>
          </c:tx>
          <c:marker>
            <c:symbol val="none"/>
          </c:marker>
          <c:trendline>
            <c:trendlineType val="poly"/>
            <c:order val="2"/>
            <c:backward val="5"/>
            <c:dispRSqr val="0"/>
            <c:dispEq val="1"/>
            <c:trendlineLbl>
              <c:layout>
                <c:manualLayout>
                  <c:x val="9.166666666666666E-2"/>
                  <c:y val="0.18560731991834353"/>
                </c:manualLayout>
              </c:layout>
              <c:numFmt formatCode="General" sourceLinked="0"/>
            </c:trendlineLbl>
          </c:trendline>
          <c:xVal>
            <c:numRef>
              <c:f>Ref!$D$65:$J$65</c:f>
              <c:numCache>
                <c:formatCode>###0;###0</c:formatCode>
                <c:ptCount val="7"/>
                <c:pt idx="0" formatCode="General">
                  <c:v>50</c:v>
                </c:pt>
                <c:pt idx="1">
                  <c:v>60</c:v>
                </c:pt>
                <c:pt idx="2">
                  <c:v>70</c:v>
                </c:pt>
                <c:pt idx="3">
                  <c:v>80</c:v>
                </c:pt>
                <c:pt idx="4">
                  <c:v>90</c:v>
                </c:pt>
                <c:pt idx="5">
                  <c:v>100</c:v>
                </c:pt>
                <c:pt idx="6">
                  <c:v>120</c:v>
                </c:pt>
              </c:numCache>
            </c:numRef>
          </c:xVal>
          <c:yVal>
            <c:numRef>
              <c:f>Ref!$D$68:$J$68</c:f>
              <c:numCache>
                <c:formatCode>###0;###0</c:formatCode>
                <c:ptCount val="7"/>
                <c:pt idx="0">
                  <c:v>32</c:v>
                </c:pt>
                <c:pt idx="1">
                  <c:v>33</c:v>
                </c:pt>
                <c:pt idx="2">
                  <c:v>34</c:v>
                </c:pt>
                <c:pt idx="3">
                  <c:v>34</c:v>
                </c:pt>
                <c:pt idx="4">
                  <c:v>34</c:v>
                </c:pt>
                <c:pt idx="5">
                  <c:v>35</c:v>
                </c:pt>
                <c:pt idx="6">
                  <c:v>35</c:v>
                </c:pt>
              </c:numCache>
            </c:numRef>
          </c:yVal>
          <c:smooth val="1"/>
          <c:extLst>
            <c:ext xmlns:c16="http://schemas.microsoft.com/office/drawing/2014/chart" uri="{C3380CC4-5D6E-409C-BE32-E72D297353CC}">
              <c16:uniqueId val="{00000002-5BB6-46C6-941F-FA2171C42150}"/>
            </c:ext>
          </c:extLst>
        </c:ser>
        <c:dLbls>
          <c:showLegendKey val="0"/>
          <c:showVal val="0"/>
          <c:showCatName val="0"/>
          <c:showSerName val="0"/>
          <c:showPercent val="0"/>
          <c:showBubbleSize val="0"/>
        </c:dLbls>
        <c:axId val="64250624"/>
        <c:axId val="64252160"/>
      </c:scatterChart>
      <c:valAx>
        <c:axId val="64250624"/>
        <c:scaling>
          <c:orientation val="minMax"/>
          <c:min val="40"/>
        </c:scaling>
        <c:delete val="0"/>
        <c:axPos val="b"/>
        <c:numFmt formatCode="General" sourceLinked="1"/>
        <c:majorTickMark val="out"/>
        <c:minorTickMark val="none"/>
        <c:tickLblPos val="nextTo"/>
        <c:crossAx val="64252160"/>
        <c:crosses val="autoZero"/>
        <c:crossBetween val="midCat"/>
      </c:valAx>
      <c:valAx>
        <c:axId val="64252160"/>
        <c:scaling>
          <c:orientation val="minMax"/>
          <c:min val="30"/>
        </c:scaling>
        <c:delete val="0"/>
        <c:axPos val="l"/>
        <c:majorGridlines/>
        <c:numFmt formatCode="###0;###0" sourceLinked="1"/>
        <c:majorTickMark val="out"/>
        <c:minorTickMark val="none"/>
        <c:tickLblPos val="nextTo"/>
        <c:crossAx val="64250624"/>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vmlDrawing10.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604630</xdr:colOff>
      <xdr:row>75</xdr:row>
      <xdr:rowOff>389282</xdr:rowOff>
    </xdr:from>
    <xdr:to>
      <xdr:col>1</xdr:col>
      <xdr:colOff>3535444</xdr:colOff>
      <xdr:row>76</xdr:row>
      <xdr:rowOff>1666477</xdr:rowOff>
    </xdr:to>
    <xdr:pic>
      <xdr:nvPicPr>
        <xdr:cNvPr id="2" name="Picture 1">
          <a:extLst>
            <a:ext uri="{FF2B5EF4-FFF2-40B4-BE49-F238E27FC236}">
              <a16:creationId xmlns:a16="http://schemas.microsoft.com/office/drawing/2014/main" id="{9739A01A-544F-431B-A5B5-2AC0EEFC000F}"/>
            </a:ext>
          </a:extLst>
        </xdr:cNvPr>
        <xdr:cNvPicPr>
          <a:picLocks noChangeAspect="1"/>
        </xdr:cNvPicPr>
      </xdr:nvPicPr>
      <xdr:blipFill>
        <a:blip xmlns:r="http://schemas.openxmlformats.org/officeDocument/2006/relationships" r:embed="rId1"/>
        <a:stretch>
          <a:fillRect/>
        </a:stretch>
      </xdr:blipFill>
      <xdr:spPr>
        <a:xfrm>
          <a:off x="2078934" y="40104391"/>
          <a:ext cx="2930814" cy="176586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16</xdr:col>
      <xdr:colOff>163925</xdr:colOff>
      <xdr:row>60</xdr:row>
      <xdr:rowOff>58913</xdr:rowOff>
    </xdr:from>
    <xdr:to>
      <xdr:col>23</xdr:col>
      <xdr:colOff>468725</xdr:colOff>
      <xdr:row>69</xdr:row>
      <xdr:rowOff>159446</xdr:rowOff>
    </xdr:to>
    <xdr:graphicFrame macro="">
      <xdr:nvGraphicFramePr>
        <xdr:cNvPr id="2" name="Chart 1">
          <a:extLst>
            <a:ext uri="{FF2B5EF4-FFF2-40B4-BE49-F238E27FC236}">
              <a16:creationId xmlns:a16="http://schemas.microsoft.com/office/drawing/2014/main" id="{00000000-0008-0000-09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307227</xdr:colOff>
      <xdr:row>124</xdr:row>
      <xdr:rowOff>80634</xdr:rowOff>
    </xdr:from>
    <xdr:to>
      <xdr:col>10</xdr:col>
      <xdr:colOff>430574</xdr:colOff>
      <xdr:row>129</xdr:row>
      <xdr:rowOff>48057</xdr:rowOff>
    </xdr:to>
    <xdr:grpSp>
      <xdr:nvGrpSpPr>
        <xdr:cNvPr id="29" name="Group 28">
          <a:extLst>
            <a:ext uri="{FF2B5EF4-FFF2-40B4-BE49-F238E27FC236}">
              <a16:creationId xmlns:a16="http://schemas.microsoft.com/office/drawing/2014/main" id="{00000000-0008-0000-0900-00001D000000}"/>
            </a:ext>
          </a:extLst>
        </xdr:cNvPr>
        <xdr:cNvGrpSpPr/>
      </xdr:nvGrpSpPr>
      <xdr:grpSpPr>
        <a:xfrm>
          <a:off x="5777298" y="24627920"/>
          <a:ext cx="2409347" cy="783851"/>
          <a:chOff x="5891598" y="24007434"/>
          <a:chExt cx="2463776" cy="783852"/>
        </a:xfrm>
      </xdr:grpSpPr>
      <xdr:grpSp>
        <xdr:nvGrpSpPr>
          <xdr:cNvPr id="17" name="Group 16">
            <a:extLst>
              <a:ext uri="{FF2B5EF4-FFF2-40B4-BE49-F238E27FC236}">
                <a16:creationId xmlns:a16="http://schemas.microsoft.com/office/drawing/2014/main" id="{00000000-0008-0000-0900-000011000000}"/>
              </a:ext>
            </a:extLst>
          </xdr:cNvPr>
          <xdr:cNvGrpSpPr/>
        </xdr:nvGrpSpPr>
        <xdr:grpSpPr>
          <a:xfrm>
            <a:off x="5891598" y="24007434"/>
            <a:ext cx="2463776" cy="783852"/>
            <a:chOff x="5891598" y="24007434"/>
            <a:chExt cx="2463776" cy="783852"/>
          </a:xfrm>
        </xdr:grpSpPr>
        <xdr:grpSp>
          <xdr:nvGrpSpPr>
            <xdr:cNvPr id="12" name="Group 11">
              <a:extLst>
                <a:ext uri="{FF2B5EF4-FFF2-40B4-BE49-F238E27FC236}">
                  <a16:creationId xmlns:a16="http://schemas.microsoft.com/office/drawing/2014/main" id="{00000000-0008-0000-0900-00000C000000}"/>
                </a:ext>
              </a:extLst>
            </xdr:cNvPr>
            <xdr:cNvGrpSpPr/>
          </xdr:nvGrpSpPr>
          <xdr:grpSpPr>
            <a:xfrm>
              <a:off x="6074229" y="24286030"/>
              <a:ext cx="2090057" cy="293912"/>
              <a:chOff x="6074229" y="24286030"/>
              <a:chExt cx="2090057" cy="293912"/>
            </a:xfrm>
          </xdr:grpSpPr>
          <xdr:cxnSp macro="">
            <xdr:nvCxnSpPr>
              <xdr:cNvPr id="5" name="Straight Connector 4">
                <a:extLst>
                  <a:ext uri="{FF2B5EF4-FFF2-40B4-BE49-F238E27FC236}">
                    <a16:creationId xmlns:a16="http://schemas.microsoft.com/office/drawing/2014/main" id="{00000000-0008-0000-0900-000005000000}"/>
                  </a:ext>
                </a:extLst>
              </xdr:cNvPr>
              <xdr:cNvCxnSpPr/>
            </xdr:nvCxnSpPr>
            <xdr:spPr>
              <a:xfrm>
                <a:off x="6193971" y="24438429"/>
                <a:ext cx="1828800" cy="0"/>
              </a:xfrm>
              <a:prstGeom prst="line">
                <a:avLst/>
              </a:prstGeom>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7" name="Straight Connector 6">
                <a:extLst>
                  <a:ext uri="{FF2B5EF4-FFF2-40B4-BE49-F238E27FC236}">
                    <a16:creationId xmlns:a16="http://schemas.microsoft.com/office/drawing/2014/main" id="{00000000-0008-0000-0900-000007000000}"/>
                  </a:ext>
                </a:extLst>
              </xdr:cNvPr>
              <xdr:cNvCxnSpPr/>
            </xdr:nvCxnSpPr>
            <xdr:spPr>
              <a:xfrm flipV="1">
                <a:off x="6074229" y="24286030"/>
                <a:ext cx="261257" cy="272141"/>
              </a:xfrm>
              <a:prstGeom prst="line">
                <a:avLst/>
              </a:prstGeom>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1" name="Straight Connector 10">
                <a:extLst>
                  <a:ext uri="{FF2B5EF4-FFF2-40B4-BE49-F238E27FC236}">
                    <a16:creationId xmlns:a16="http://schemas.microsoft.com/office/drawing/2014/main" id="{00000000-0008-0000-0900-00000B000000}"/>
                  </a:ext>
                </a:extLst>
              </xdr:cNvPr>
              <xdr:cNvCxnSpPr/>
            </xdr:nvCxnSpPr>
            <xdr:spPr>
              <a:xfrm flipV="1">
                <a:off x="7903029" y="24307801"/>
                <a:ext cx="261257" cy="272141"/>
              </a:xfrm>
              <a:prstGeom prst="line">
                <a:avLst/>
              </a:prstGeom>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13" name="TextBox 12">
              <a:extLst>
                <a:ext uri="{FF2B5EF4-FFF2-40B4-BE49-F238E27FC236}">
                  <a16:creationId xmlns:a16="http://schemas.microsoft.com/office/drawing/2014/main" id="{00000000-0008-0000-0900-00000D000000}"/>
                </a:ext>
              </a:extLst>
            </xdr:cNvPr>
            <xdr:cNvSpPr txBox="1"/>
          </xdr:nvSpPr>
          <xdr:spPr>
            <a:xfrm>
              <a:off x="6220595" y="24007434"/>
              <a:ext cx="208007" cy="2504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ctr">
              <a:spAutoFit/>
            </a:bodyPr>
            <a:lstStyle/>
            <a:p>
              <a:pPr algn="ctr"/>
              <a:r>
                <a:rPr lang="en-NZ" sz="1600"/>
                <a:t>17</a:t>
              </a:r>
            </a:p>
          </xdr:txBody>
        </xdr:sp>
        <xdr:sp macro="" textlink="">
          <xdr:nvSpPr>
            <xdr:cNvPr id="14" name="TextBox 13">
              <a:extLst>
                <a:ext uri="{FF2B5EF4-FFF2-40B4-BE49-F238E27FC236}">
                  <a16:creationId xmlns:a16="http://schemas.microsoft.com/office/drawing/2014/main" id="{00000000-0008-0000-0900-00000E000000}"/>
                </a:ext>
              </a:extLst>
            </xdr:cNvPr>
            <xdr:cNvSpPr txBox="1"/>
          </xdr:nvSpPr>
          <xdr:spPr>
            <a:xfrm>
              <a:off x="5891598" y="24486405"/>
              <a:ext cx="104003" cy="2504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ctr">
              <a:spAutoFit/>
            </a:bodyPr>
            <a:lstStyle/>
            <a:p>
              <a:pPr algn="ctr"/>
              <a:r>
                <a:rPr lang="en-NZ" sz="1600"/>
                <a:t>7</a:t>
              </a:r>
            </a:p>
          </xdr:txBody>
        </xdr:sp>
        <xdr:sp macro="" textlink="">
          <xdr:nvSpPr>
            <xdr:cNvPr id="15" name="TextBox 14">
              <a:extLst>
                <a:ext uri="{FF2B5EF4-FFF2-40B4-BE49-F238E27FC236}">
                  <a16:creationId xmlns:a16="http://schemas.microsoft.com/office/drawing/2014/main" id="{00000000-0008-0000-0900-00000F000000}"/>
                </a:ext>
              </a:extLst>
            </xdr:cNvPr>
            <xdr:cNvSpPr txBox="1"/>
          </xdr:nvSpPr>
          <xdr:spPr>
            <a:xfrm>
              <a:off x="8147367" y="24029204"/>
              <a:ext cx="208007" cy="2504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ctr">
              <a:spAutoFit/>
            </a:bodyPr>
            <a:lstStyle/>
            <a:p>
              <a:pPr algn="ctr"/>
              <a:r>
                <a:rPr lang="en-NZ" sz="1600"/>
                <a:t>18</a:t>
              </a:r>
            </a:p>
          </xdr:txBody>
        </xdr:sp>
        <xdr:sp macro="" textlink="">
          <xdr:nvSpPr>
            <xdr:cNvPr id="16" name="TextBox 15">
              <a:extLst>
                <a:ext uri="{FF2B5EF4-FFF2-40B4-BE49-F238E27FC236}">
                  <a16:creationId xmlns:a16="http://schemas.microsoft.com/office/drawing/2014/main" id="{00000000-0008-0000-0900-000010000000}"/>
                </a:ext>
              </a:extLst>
            </xdr:cNvPr>
            <xdr:cNvSpPr txBox="1"/>
          </xdr:nvSpPr>
          <xdr:spPr>
            <a:xfrm>
              <a:off x="7763940" y="24540833"/>
              <a:ext cx="104003" cy="2504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ctr">
              <a:spAutoFit/>
            </a:bodyPr>
            <a:lstStyle/>
            <a:p>
              <a:pPr algn="ctr"/>
              <a:r>
                <a:rPr lang="en-NZ" sz="1600"/>
                <a:t>8</a:t>
              </a:r>
            </a:p>
          </xdr:txBody>
        </xdr:sp>
      </xdr:grpSp>
      <xdr:sp macro="" textlink="">
        <xdr:nvSpPr>
          <xdr:cNvPr id="27" name="TextBox 26">
            <a:extLst>
              <a:ext uri="{FF2B5EF4-FFF2-40B4-BE49-F238E27FC236}">
                <a16:creationId xmlns:a16="http://schemas.microsoft.com/office/drawing/2014/main" id="{00000000-0008-0000-0900-00001B000000}"/>
              </a:ext>
            </a:extLst>
          </xdr:cNvPr>
          <xdr:cNvSpPr txBox="1"/>
        </xdr:nvSpPr>
        <xdr:spPr>
          <a:xfrm>
            <a:off x="5935141" y="24203377"/>
            <a:ext cx="208007" cy="2504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ctr">
            <a:noAutofit/>
          </a:bodyPr>
          <a:lstStyle/>
          <a:p>
            <a:pPr algn="ctr"/>
            <a:r>
              <a:rPr lang="en-NZ" sz="1600"/>
              <a:t>x</a:t>
            </a:r>
          </a:p>
        </xdr:txBody>
      </xdr:sp>
      <xdr:sp macro="" textlink="">
        <xdr:nvSpPr>
          <xdr:cNvPr id="28" name="TextBox 27">
            <a:extLst>
              <a:ext uri="{FF2B5EF4-FFF2-40B4-BE49-F238E27FC236}">
                <a16:creationId xmlns:a16="http://schemas.microsoft.com/office/drawing/2014/main" id="{00000000-0008-0000-0900-00001C000000}"/>
              </a:ext>
            </a:extLst>
          </xdr:cNvPr>
          <xdr:cNvSpPr txBox="1"/>
        </xdr:nvSpPr>
        <xdr:spPr>
          <a:xfrm>
            <a:off x="8090512" y="24323120"/>
            <a:ext cx="208007" cy="2504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ctr">
            <a:noAutofit/>
          </a:bodyPr>
          <a:lstStyle/>
          <a:p>
            <a:pPr algn="ctr"/>
            <a:r>
              <a:rPr lang="en-NZ" sz="1600"/>
              <a:t>y</a:t>
            </a:r>
          </a:p>
        </xdr:txBody>
      </xdr:sp>
    </xdr:grpSp>
    <xdr:clientData/>
  </xdr:twoCellAnchor>
  <xdr:twoCellAnchor>
    <xdr:from>
      <xdr:col>7</xdr:col>
      <xdr:colOff>318090</xdr:colOff>
      <xdr:row>130</xdr:row>
      <xdr:rowOff>84112</xdr:rowOff>
    </xdr:from>
    <xdr:to>
      <xdr:col>10</xdr:col>
      <xdr:colOff>441506</xdr:colOff>
      <xdr:row>135</xdr:row>
      <xdr:rowOff>44579</xdr:rowOff>
    </xdr:to>
    <xdr:grpSp>
      <xdr:nvGrpSpPr>
        <xdr:cNvPr id="30" name="Group 29">
          <a:extLst>
            <a:ext uri="{FF2B5EF4-FFF2-40B4-BE49-F238E27FC236}">
              <a16:creationId xmlns:a16="http://schemas.microsoft.com/office/drawing/2014/main" id="{00000000-0008-0000-0900-00001E000000}"/>
            </a:ext>
          </a:extLst>
        </xdr:cNvPr>
        <xdr:cNvGrpSpPr/>
      </xdr:nvGrpSpPr>
      <xdr:grpSpPr>
        <a:xfrm>
          <a:off x="5788161" y="25611112"/>
          <a:ext cx="2409416" cy="776896"/>
          <a:chOff x="5891575" y="24010818"/>
          <a:chExt cx="2463845" cy="777084"/>
        </a:xfrm>
      </xdr:grpSpPr>
      <xdr:grpSp>
        <xdr:nvGrpSpPr>
          <xdr:cNvPr id="31" name="Group 30">
            <a:extLst>
              <a:ext uri="{FF2B5EF4-FFF2-40B4-BE49-F238E27FC236}">
                <a16:creationId xmlns:a16="http://schemas.microsoft.com/office/drawing/2014/main" id="{00000000-0008-0000-0900-00001F000000}"/>
              </a:ext>
            </a:extLst>
          </xdr:cNvPr>
          <xdr:cNvGrpSpPr/>
        </xdr:nvGrpSpPr>
        <xdr:grpSpPr>
          <a:xfrm>
            <a:off x="5891575" y="24010818"/>
            <a:ext cx="2463845" cy="777084"/>
            <a:chOff x="5891575" y="24010818"/>
            <a:chExt cx="2463845" cy="777084"/>
          </a:xfrm>
        </xdr:grpSpPr>
        <xdr:grpSp>
          <xdr:nvGrpSpPr>
            <xdr:cNvPr id="34" name="Group 33">
              <a:extLst>
                <a:ext uri="{FF2B5EF4-FFF2-40B4-BE49-F238E27FC236}">
                  <a16:creationId xmlns:a16="http://schemas.microsoft.com/office/drawing/2014/main" id="{00000000-0008-0000-0900-000022000000}"/>
                </a:ext>
              </a:extLst>
            </xdr:cNvPr>
            <xdr:cNvGrpSpPr/>
          </xdr:nvGrpSpPr>
          <xdr:grpSpPr>
            <a:xfrm>
              <a:off x="6074229" y="24286030"/>
              <a:ext cx="2090057" cy="293912"/>
              <a:chOff x="6074229" y="24286030"/>
              <a:chExt cx="2090057" cy="293912"/>
            </a:xfrm>
          </xdr:grpSpPr>
          <xdr:cxnSp macro="">
            <xdr:nvCxnSpPr>
              <xdr:cNvPr id="39" name="Straight Connector 38">
                <a:extLst>
                  <a:ext uri="{FF2B5EF4-FFF2-40B4-BE49-F238E27FC236}">
                    <a16:creationId xmlns:a16="http://schemas.microsoft.com/office/drawing/2014/main" id="{00000000-0008-0000-0900-000027000000}"/>
                  </a:ext>
                </a:extLst>
              </xdr:cNvPr>
              <xdr:cNvCxnSpPr/>
            </xdr:nvCxnSpPr>
            <xdr:spPr>
              <a:xfrm>
                <a:off x="6193971" y="24438429"/>
                <a:ext cx="1828800" cy="0"/>
              </a:xfrm>
              <a:prstGeom prst="line">
                <a:avLst/>
              </a:prstGeom>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0" name="Straight Connector 39">
                <a:extLst>
                  <a:ext uri="{FF2B5EF4-FFF2-40B4-BE49-F238E27FC236}">
                    <a16:creationId xmlns:a16="http://schemas.microsoft.com/office/drawing/2014/main" id="{00000000-0008-0000-0900-000028000000}"/>
                  </a:ext>
                </a:extLst>
              </xdr:cNvPr>
              <xdr:cNvCxnSpPr/>
            </xdr:nvCxnSpPr>
            <xdr:spPr>
              <a:xfrm flipV="1">
                <a:off x="6074229" y="24286030"/>
                <a:ext cx="261257" cy="272141"/>
              </a:xfrm>
              <a:prstGeom prst="line">
                <a:avLst/>
              </a:prstGeom>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Straight Connector 40">
                <a:extLst>
                  <a:ext uri="{FF2B5EF4-FFF2-40B4-BE49-F238E27FC236}">
                    <a16:creationId xmlns:a16="http://schemas.microsoft.com/office/drawing/2014/main" id="{00000000-0008-0000-0900-000029000000}"/>
                  </a:ext>
                </a:extLst>
              </xdr:cNvPr>
              <xdr:cNvCxnSpPr/>
            </xdr:nvCxnSpPr>
            <xdr:spPr>
              <a:xfrm flipV="1">
                <a:off x="7903029" y="24307801"/>
                <a:ext cx="261257" cy="272141"/>
              </a:xfrm>
              <a:prstGeom prst="line">
                <a:avLst/>
              </a:prstGeom>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35" name="TextBox 34">
              <a:extLst>
                <a:ext uri="{FF2B5EF4-FFF2-40B4-BE49-F238E27FC236}">
                  <a16:creationId xmlns:a16="http://schemas.microsoft.com/office/drawing/2014/main" id="{00000000-0008-0000-0900-000023000000}"/>
                </a:ext>
              </a:extLst>
            </xdr:cNvPr>
            <xdr:cNvSpPr txBox="1"/>
          </xdr:nvSpPr>
          <xdr:spPr>
            <a:xfrm>
              <a:off x="6220549" y="24010818"/>
              <a:ext cx="208099" cy="2436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ctr">
              <a:spAutoFit/>
            </a:bodyPr>
            <a:lstStyle/>
            <a:p>
              <a:pPr algn="ctr"/>
              <a:r>
                <a:rPr lang="en-NZ" sz="1600"/>
                <a:t>13</a:t>
              </a:r>
            </a:p>
          </xdr:txBody>
        </xdr:sp>
        <xdr:sp macro="" textlink="">
          <xdr:nvSpPr>
            <xdr:cNvPr id="36" name="TextBox 35">
              <a:extLst>
                <a:ext uri="{FF2B5EF4-FFF2-40B4-BE49-F238E27FC236}">
                  <a16:creationId xmlns:a16="http://schemas.microsoft.com/office/drawing/2014/main" id="{00000000-0008-0000-0900-000024000000}"/>
                </a:ext>
              </a:extLst>
            </xdr:cNvPr>
            <xdr:cNvSpPr txBox="1"/>
          </xdr:nvSpPr>
          <xdr:spPr>
            <a:xfrm>
              <a:off x="5891575" y="24489789"/>
              <a:ext cx="104049" cy="2436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ctr">
              <a:spAutoFit/>
            </a:bodyPr>
            <a:lstStyle/>
            <a:p>
              <a:pPr algn="ctr"/>
              <a:r>
                <a:rPr lang="en-NZ" sz="1600"/>
                <a:t>3</a:t>
              </a:r>
            </a:p>
          </xdr:txBody>
        </xdr:sp>
        <xdr:sp macro="" textlink="">
          <xdr:nvSpPr>
            <xdr:cNvPr id="37" name="TextBox 36">
              <a:extLst>
                <a:ext uri="{FF2B5EF4-FFF2-40B4-BE49-F238E27FC236}">
                  <a16:creationId xmlns:a16="http://schemas.microsoft.com/office/drawing/2014/main" id="{00000000-0008-0000-0900-000025000000}"/>
                </a:ext>
              </a:extLst>
            </xdr:cNvPr>
            <xdr:cNvSpPr txBox="1"/>
          </xdr:nvSpPr>
          <xdr:spPr>
            <a:xfrm>
              <a:off x="8147321" y="24032588"/>
              <a:ext cx="208099" cy="2436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ctr">
              <a:spAutoFit/>
            </a:bodyPr>
            <a:lstStyle/>
            <a:p>
              <a:pPr algn="ctr"/>
              <a:r>
                <a:rPr lang="en-NZ" sz="1600"/>
                <a:t>16</a:t>
              </a:r>
            </a:p>
          </xdr:txBody>
        </xdr:sp>
        <xdr:sp macro="" textlink="">
          <xdr:nvSpPr>
            <xdr:cNvPr id="38" name="TextBox 37">
              <a:extLst>
                <a:ext uri="{FF2B5EF4-FFF2-40B4-BE49-F238E27FC236}">
                  <a16:creationId xmlns:a16="http://schemas.microsoft.com/office/drawing/2014/main" id="{00000000-0008-0000-0900-000026000000}"/>
                </a:ext>
              </a:extLst>
            </xdr:cNvPr>
            <xdr:cNvSpPr txBox="1"/>
          </xdr:nvSpPr>
          <xdr:spPr>
            <a:xfrm>
              <a:off x="7763917" y="24544217"/>
              <a:ext cx="104049" cy="2436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ctr">
              <a:spAutoFit/>
            </a:bodyPr>
            <a:lstStyle/>
            <a:p>
              <a:pPr algn="ctr"/>
              <a:r>
                <a:rPr lang="en-NZ" sz="1600"/>
                <a:t>6</a:t>
              </a:r>
            </a:p>
          </xdr:txBody>
        </xdr:sp>
      </xdr:grpSp>
      <xdr:sp macro="" textlink="">
        <xdr:nvSpPr>
          <xdr:cNvPr id="32" name="TextBox 31">
            <a:extLst>
              <a:ext uri="{FF2B5EF4-FFF2-40B4-BE49-F238E27FC236}">
                <a16:creationId xmlns:a16="http://schemas.microsoft.com/office/drawing/2014/main" id="{00000000-0008-0000-0900-000020000000}"/>
              </a:ext>
            </a:extLst>
          </xdr:cNvPr>
          <xdr:cNvSpPr txBox="1"/>
        </xdr:nvSpPr>
        <xdr:spPr>
          <a:xfrm>
            <a:off x="5935141" y="24203377"/>
            <a:ext cx="208007" cy="2504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ctr">
            <a:noAutofit/>
          </a:bodyPr>
          <a:lstStyle/>
          <a:p>
            <a:pPr algn="ctr"/>
            <a:r>
              <a:rPr lang="en-NZ" sz="1600"/>
              <a:t>x</a:t>
            </a:r>
          </a:p>
        </xdr:txBody>
      </xdr:sp>
      <xdr:sp macro="" textlink="">
        <xdr:nvSpPr>
          <xdr:cNvPr id="33" name="TextBox 32">
            <a:extLst>
              <a:ext uri="{FF2B5EF4-FFF2-40B4-BE49-F238E27FC236}">
                <a16:creationId xmlns:a16="http://schemas.microsoft.com/office/drawing/2014/main" id="{00000000-0008-0000-0900-000021000000}"/>
              </a:ext>
            </a:extLst>
          </xdr:cNvPr>
          <xdr:cNvSpPr txBox="1"/>
        </xdr:nvSpPr>
        <xdr:spPr>
          <a:xfrm>
            <a:off x="8090512" y="24323120"/>
            <a:ext cx="208007" cy="2504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ctr">
            <a:noAutofit/>
          </a:bodyPr>
          <a:lstStyle/>
          <a:p>
            <a:pPr algn="ctr"/>
            <a:r>
              <a:rPr lang="en-NZ" sz="1600"/>
              <a:t>y</a:t>
            </a:r>
          </a:p>
        </xdr:txBody>
      </xdr:sp>
    </xdr:grpSp>
    <xdr:clientData/>
  </xdr:twoCellAnchor>
  <xdr:twoCellAnchor>
    <xdr:from>
      <xdr:col>7</xdr:col>
      <xdr:colOff>296319</xdr:colOff>
      <xdr:row>136</xdr:row>
      <xdr:rowOff>73225</xdr:rowOff>
    </xdr:from>
    <xdr:to>
      <xdr:col>10</xdr:col>
      <xdr:colOff>419735</xdr:colOff>
      <xdr:row>141</xdr:row>
      <xdr:rowOff>33693</xdr:rowOff>
    </xdr:to>
    <xdr:grpSp>
      <xdr:nvGrpSpPr>
        <xdr:cNvPr id="42" name="Group 41">
          <a:extLst>
            <a:ext uri="{FF2B5EF4-FFF2-40B4-BE49-F238E27FC236}">
              <a16:creationId xmlns:a16="http://schemas.microsoft.com/office/drawing/2014/main" id="{00000000-0008-0000-0900-00002A000000}"/>
            </a:ext>
          </a:extLst>
        </xdr:cNvPr>
        <xdr:cNvGrpSpPr/>
      </xdr:nvGrpSpPr>
      <xdr:grpSpPr>
        <a:xfrm>
          <a:off x="5766390" y="26579939"/>
          <a:ext cx="2409416" cy="776897"/>
          <a:chOff x="5891575" y="24010818"/>
          <a:chExt cx="2463845" cy="777084"/>
        </a:xfrm>
      </xdr:grpSpPr>
      <xdr:grpSp>
        <xdr:nvGrpSpPr>
          <xdr:cNvPr id="43" name="Group 42">
            <a:extLst>
              <a:ext uri="{FF2B5EF4-FFF2-40B4-BE49-F238E27FC236}">
                <a16:creationId xmlns:a16="http://schemas.microsoft.com/office/drawing/2014/main" id="{00000000-0008-0000-0900-00002B000000}"/>
              </a:ext>
            </a:extLst>
          </xdr:cNvPr>
          <xdr:cNvGrpSpPr/>
        </xdr:nvGrpSpPr>
        <xdr:grpSpPr>
          <a:xfrm>
            <a:off x="5891575" y="24010818"/>
            <a:ext cx="2463845" cy="777084"/>
            <a:chOff x="5891575" y="24010818"/>
            <a:chExt cx="2463845" cy="777084"/>
          </a:xfrm>
        </xdr:grpSpPr>
        <xdr:grpSp>
          <xdr:nvGrpSpPr>
            <xdr:cNvPr id="46" name="Group 45">
              <a:extLst>
                <a:ext uri="{FF2B5EF4-FFF2-40B4-BE49-F238E27FC236}">
                  <a16:creationId xmlns:a16="http://schemas.microsoft.com/office/drawing/2014/main" id="{00000000-0008-0000-0900-00002E000000}"/>
                </a:ext>
              </a:extLst>
            </xdr:cNvPr>
            <xdr:cNvGrpSpPr/>
          </xdr:nvGrpSpPr>
          <xdr:grpSpPr>
            <a:xfrm>
              <a:off x="6074229" y="24286030"/>
              <a:ext cx="2090057" cy="293912"/>
              <a:chOff x="6074229" y="24286030"/>
              <a:chExt cx="2090057" cy="293912"/>
            </a:xfrm>
          </xdr:grpSpPr>
          <xdr:cxnSp macro="">
            <xdr:nvCxnSpPr>
              <xdr:cNvPr id="51" name="Straight Connector 50">
                <a:extLst>
                  <a:ext uri="{FF2B5EF4-FFF2-40B4-BE49-F238E27FC236}">
                    <a16:creationId xmlns:a16="http://schemas.microsoft.com/office/drawing/2014/main" id="{00000000-0008-0000-0900-000033000000}"/>
                  </a:ext>
                </a:extLst>
              </xdr:cNvPr>
              <xdr:cNvCxnSpPr/>
            </xdr:nvCxnSpPr>
            <xdr:spPr>
              <a:xfrm>
                <a:off x="6193971" y="24438429"/>
                <a:ext cx="1828800" cy="0"/>
              </a:xfrm>
              <a:prstGeom prst="line">
                <a:avLst/>
              </a:prstGeom>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52" name="Straight Connector 51">
                <a:extLst>
                  <a:ext uri="{FF2B5EF4-FFF2-40B4-BE49-F238E27FC236}">
                    <a16:creationId xmlns:a16="http://schemas.microsoft.com/office/drawing/2014/main" id="{00000000-0008-0000-0900-000034000000}"/>
                  </a:ext>
                </a:extLst>
              </xdr:cNvPr>
              <xdr:cNvCxnSpPr/>
            </xdr:nvCxnSpPr>
            <xdr:spPr>
              <a:xfrm flipV="1">
                <a:off x="6074229" y="24286030"/>
                <a:ext cx="261257" cy="272141"/>
              </a:xfrm>
              <a:prstGeom prst="line">
                <a:avLst/>
              </a:prstGeom>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53" name="Straight Connector 52">
                <a:extLst>
                  <a:ext uri="{FF2B5EF4-FFF2-40B4-BE49-F238E27FC236}">
                    <a16:creationId xmlns:a16="http://schemas.microsoft.com/office/drawing/2014/main" id="{00000000-0008-0000-0900-000035000000}"/>
                  </a:ext>
                </a:extLst>
              </xdr:cNvPr>
              <xdr:cNvCxnSpPr/>
            </xdr:nvCxnSpPr>
            <xdr:spPr>
              <a:xfrm flipV="1">
                <a:off x="7903029" y="24307801"/>
                <a:ext cx="261257" cy="272141"/>
              </a:xfrm>
              <a:prstGeom prst="line">
                <a:avLst/>
              </a:prstGeom>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47" name="TextBox 46">
              <a:extLst>
                <a:ext uri="{FF2B5EF4-FFF2-40B4-BE49-F238E27FC236}">
                  <a16:creationId xmlns:a16="http://schemas.microsoft.com/office/drawing/2014/main" id="{00000000-0008-0000-0900-00002F000000}"/>
                </a:ext>
              </a:extLst>
            </xdr:cNvPr>
            <xdr:cNvSpPr txBox="1"/>
          </xdr:nvSpPr>
          <xdr:spPr>
            <a:xfrm>
              <a:off x="6220549" y="24010818"/>
              <a:ext cx="208099" cy="2436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ctr">
              <a:spAutoFit/>
            </a:bodyPr>
            <a:lstStyle/>
            <a:p>
              <a:pPr algn="ctr"/>
              <a:r>
                <a:rPr lang="en-NZ" sz="1600"/>
                <a:t>12</a:t>
              </a:r>
            </a:p>
          </xdr:txBody>
        </xdr:sp>
        <xdr:sp macro="" textlink="">
          <xdr:nvSpPr>
            <xdr:cNvPr id="48" name="TextBox 47">
              <a:extLst>
                <a:ext uri="{FF2B5EF4-FFF2-40B4-BE49-F238E27FC236}">
                  <a16:creationId xmlns:a16="http://schemas.microsoft.com/office/drawing/2014/main" id="{00000000-0008-0000-0900-000030000000}"/>
                </a:ext>
              </a:extLst>
            </xdr:cNvPr>
            <xdr:cNvSpPr txBox="1"/>
          </xdr:nvSpPr>
          <xdr:spPr>
            <a:xfrm>
              <a:off x="5891575" y="24489789"/>
              <a:ext cx="104049" cy="2436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ctr">
              <a:spAutoFit/>
            </a:bodyPr>
            <a:lstStyle/>
            <a:p>
              <a:pPr algn="ctr"/>
              <a:r>
                <a:rPr lang="en-NZ" sz="1600"/>
                <a:t>2</a:t>
              </a:r>
            </a:p>
          </xdr:txBody>
        </xdr:sp>
        <xdr:sp macro="" textlink="">
          <xdr:nvSpPr>
            <xdr:cNvPr id="49" name="TextBox 48">
              <a:extLst>
                <a:ext uri="{FF2B5EF4-FFF2-40B4-BE49-F238E27FC236}">
                  <a16:creationId xmlns:a16="http://schemas.microsoft.com/office/drawing/2014/main" id="{00000000-0008-0000-0900-000031000000}"/>
                </a:ext>
              </a:extLst>
            </xdr:cNvPr>
            <xdr:cNvSpPr txBox="1"/>
          </xdr:nvSpPr>
          <xdr:spPr>
            <a:xfrm>
              <a:off x="8147321" y="24032588"/>
              <a:ext cx="208099" cy="2436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ctr">
              <a:spAutoFit/>
            </a:bodyPr>
            <a:lstStyle/>
            <a:p>
              <a:pPr algn="ctr"/>
              <a:r>
                <a:rPr lang="en-NZ" sz="1600"/>
                <a:t>15</a:t>
              </a:r>
            </a:p>
          </xdr:txBody>
        </xdr:sp>
        <xdr:sp macro="" textlink="">
          <xdr:nvSpPr>
            <xdr:cNvPr id="50" name="TextBox 49">
              <a:extLst>
                <a:ext uri="{FF2B5EF4-FFF2-40B4-BE49-F238E27FC236}">
                  <a16:creationId xmlns:a16="http://schemas.microsoft.com/office/drawing/2014/main" id="{00000000-0008-0000-0900-000032000000}"/>
                </a:ext>
              </a:extLst>
            </xdr:cNvPr>
            <xdr:cNvSpPr txBox="1"/>
          </xdr:nvSpPr>
          <xdr:spPr>
            <a:xfrm>
              <a:off x="7763917" y="24544217"/>
              <a:ext cx="104049" cy="2436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ctr">
              <a:spAutoFit/>
            </a:bodyPr>
            <a:lstStyle/>
            <a:p>
              <a:pPr algn="ctr"/>
              <a:r>
                <a:rPr lang="en-NZ" sz="1600"/>
                <a:t>5</a:t>
              </a:r>
            </a:p>
          </xdr:txBody>
        </xdr:sp>
      </xdr:grpSp>
      <xdr:sp macro="" textlink="">
        <xdr:nvSpPr>
          <xdr:cNvPr id="44" name="TextBox 43">
            <a:extLst>
              <a:ext uri="{FF2B5EF4-FFF2-40B4-BE49-F238E27FC236}">
                <a16:creationId xmlns:a16="http://schemas.microsoft.com/office/drawing/2014/main" id="{00000000-0008-0000-0900-00002C000000}"/>
              </a:ext>
            </a:extLst>
          </xdr:cNvPr>
          <xdr:cNvSpPr txBox="1"/>
        </xdr:nvSpPr>
        <xdr:spPr>
          <a:xfrm>
            <a:off x="5935141" y="24203377"/>
            <a:ext cx="208007" cy="2504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ctr">
            <a:noAutofit/>
          </a:bodyPr>
          <a:lstStyle/>
          <a:p>
            <a:pPr algn="ctr"/>
            <a:r>
              <a:rPr lang="en-NZ" sz="1600"/>
              <a:t>x</a:t>
            </a:r>
          </a:p>
        </xdr:txBody>
      </xdr:sp>
      <xdr:sp macro="" textlink="">
        <xdr:nvSpPr>
          <xdr:cNvPr id="45" name="TextBox 44">
            <a:extLst>
              <a:ext uri="{FF2B5EF4-FFF2-40B4-BE49-F238E27FC236}">
                <a16:creationId xmlns:a16="http://schemas.microsoft.com/office/drawing/2014/main" id="{00000000-0008-0000-0900-00002D000000}"/>
              </a:ext>
            </a:extLst>
          </xdr:cNvPr>
          <xdr:cNvSpPr txBox="1"/>
        </xdr:nvSpPr>
        <xdr:spPr>
          <a:xfrm>
            <a:off x="8090512" y="24323120"/>
            <a:ext cx="208007" cy="2504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ctr">
            <a:noAutofit/>
          </a:bodyPr>
          <a:lstStyle/>
          <a:p>
            <a:pPr algn="ctr"/>
            <a:r>
              <a:rPr lang="en-NZ" sz="1600"/>
              <a:t>y</a:t>
            </a:r>
          </a:p>
        </xdr:txBody>
      </xdr:sp>
    </xdr:grpSp>
    <xdr:clientData/>
  </xdr:twoCellAnchor>
  <xdr:twoCellAnchor>
    <xdr:from>
      <xdr:col>7</xdr:col>
      <xdr:colOff>350771</xdr:colOff>
      <xdr:row>141</xdr:row>
      <xdr:rowOff>105883</xdr:rowOff>
    </xdr:from>
    <xdr:to>
      <xdr:col>10</xdr:col>
      <xdr:colOff>474164</xdr:colOff>
      <xdr:row>146</xdr:row>
      <xdr:rowOff>66350</xdr:rowOff>
    </xdr:to>
    <xdr:grpSp>
      <xdr:nvGrpSpPr>
        <xdr:cNvPr id="54" name="Group 53">
          <a:extLst>
            <a:ext uri="{FF2B5EF4-FFF2-40B4-BE49-F238E27FC236}">
              <a16:creationId xmlns:a16="http://schemas.microsoft.com/office/drawing/2014/main" id="{00000000-0008-0000-0900-000036000000}"/>
            </a:ext>
          </a:extLst>
        </xdr:cNvPr>
        <xdr:cNvGrpSpPr/>
      </xdr:nvGrpSpPr>
      <xdr:grpSpPr>
        <a:xfrm>
          <a:off x="5820842" y="27429026"/>
          <a:ext cx="2409393" cy="804110"/>
          <a:chOff x="5891598" y="24010818"/>
          <a:chExt cx="2463822" cy="777084"/>
        </a:xfrm>
      </xdr:grpSpPr>
      <xdr:grpSp>
        <xdr:nvGrpSpPr>
          <xdr:cNvPr id="55" name="Group 54">
            <a:extLst>
              <a:ext uri="{FF2B5EF4-FFF2-40B4-BE49-F238E27FC236}">
                <a16:creationId xmlns:a16="http://schemas.microsoft.com/office/drawing/2014/main" id="{00000000-0008-0000-0900-000037000000}"/>
              </a:ext>
            </a:extLst>
          </xdr:cNvPr>
          <xdr:cNvGrpSpPr/>
        </xdr:nvGrpSpPr>
        <xdr:grpSpPr>
          <a:xfrm>
            <a:off x="5891598" y="24010818"/>
            <a:ext cx="2463822" cy="777084"/>
            <a:chOff x="5891598" y="24010818"/>
            <a:chExt cx="2463822" cy="777084"/>
          </a:xfrm>
        </xdr:grpSpPr>
        <xdr:grpSp>
          <xdr:nvGrpSpPr>
            <xdr:cNvPr id="58" name="Group 57">
              <a:extLst>
                <a:ext uri="{FF2B5EF4-FFF2-40B4-BE49-F238E27FC236}">
                  <a16:creationId xmlns:a16="http://schemas.microsoft.com/office/drawing/2014/main" id="{00000000-0008-0000-0900-00003A000000}"/>
                </a:ext>
              </a:extLst>
            </xdr:cNvPr>
            <xdr:cNvGrpSpPr/>
          </xdr:nvGrpSpPr>
          <xdr:grpSpPr>
            <a:xfrm>
              <a:off x="6074229" y="24286030"/>
              <a:ext cx="2090057" cy="293912"/>
              <a:chOff x="6074229" y="24286030"/>
              <a:chExt cx="2090057" cy="293912"/>
            </a:xfrm>
          </xdr:grpSpPr>
          <xdr:cxnSp macro="">
            <xdr:nvCxnSpPr>
              <xdr:cNvPr id="63" name="Straight Connector 62">
                <a:extLst>
                  <a:ext uri="{FF2B5EF4-FFF2-40B4-BE49-F238E27FC236}">
                    <a16:creationId xmlns:a16="http://schemas.microsoft.com/office/drawing/2014/main" id="{00000000-0008-0000-0900-00003F000000}"/>
                  </a:ext>
                </a:extLst>
              </xdr:cNvPr>
              <xdr:cNvCxnSpPr/>
            </xdr:nvCxnSpPr>
            <xdr:spPr>
              <a:xfrm>
                <a:off x="6193971" y="24438429"/>
                <a:ext cx="1828800" cy="0"/>
              </a:xfrm>
              <a:prstGeom prst="line">
                <a:avLst/>
              </a:prstGeom>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64" name="Straight Connector 63">
                <a:extLst>
                  <a:ext uri="{FF2B5EF4-FFF2-40B4-BE49-F238E27FC236}">
                    <a16:creationId xmlns:a16="http://schemas.microsoft.com/office/drawing/2014/main" id="{00000000-0008-0000-0900-000040000000}"/>
                  </a:ext>
                </a:extLst>
              </xdr:cNvPr>
              <xdr:cNvCxnSpPr/>
            </xdr:nvCxnSpPr>
            <xdr:spPr>
              <a:xfrm flipV="1">
                <a:off x="6074229" y="24286030"/>
                <a:ext cx="261257" cy="272141"/>
              </a:xfrm>
              <a:prstGeom prst="line">
                <a:avLst/>
              </a:prstGeom>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65" name="Straight Connector 64">
                <a:extLst>
                  <a:ext uri="{FF2B5EF4-FFF2-40B4-BE49-F238E27FC236}">
                    <a16:creationId xmlns:a16="http://schemas.microsoft.com/office/drawing/2014/main" id="{00000000-0008-0000-0900-000041000000}"/>
                  </a:ext>
                </a:extLst>
              </xdr:cNvPr>
              <xdr:cNvCxnSpPr/>
            </xdr:nvCxnSpPr>
            <xdr:spPr>
              <a:xfrm flipV="1">
                <a:off x="7903029" y="24307801"/>
                <a:ext cx="261257" cy="272141"/>
              </a:xfrm>
              <a:prstGeom prst="line">
                <a:avLst/>
              </a:prstGeom>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59" name="TextBox 58">
              <a:extLst>
                <a:ext uri="{FF2B5EF4-FFF2-40B4-BE49-F238E27FC236}">
                  <a16:creationId xmlns:a16="http://schemas.microsoft.com/office/drawing/2014/main" id="{00000000-0008-0000-0900-00003B000000}"/>
                </a:ext>
              </a:extLst>
            </xdr:cNvPr>
            <xdr:cNvSpPr txBox="1"/>
          </xdr:nvSpPr>
          <xdr:spPr>
            <a:xfrm>
              <a:off x="6220549" y="24010818"/>
              <a:ext cx="208099" cy="2436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ctr">
              <a:spAutoFit/>
            </a:bodyPr>
            <a:lstStyle/>
            <a:p>
              <a:pPr algn="ctr"/>
              <a:r>
                <a:rPr lang="en-NZ" sz="1600"/>
                <a:t>11</a:t>
              </a:r>
            </a:p>
          </xdr:txBody>
        </xdr:sp>
        <xdr:sp macro="" textlink="">
          <xdr:nvSpPr>
            <xdr:cNvPr id="60" name="TextBox 59">
              <a:extLst>
                <a:ext uri="{FF2B5EF4-FFF2-40B4-BE49-F238E27FC236}">
                  <a16:creationId xmlns:a16="http://schemas.microsoft.com/office/drawing/2014/main" id="{00000000-0008-0000-0900-00003C000000}"/>
                </a:ext>
              </a:extLst>
            </xdr:cNvPr>
            <xdr:cNvSpPr txBox="1"/>
          </xdr:nvSpPr>
          <xdr:spPr>
            <a:xfrm>
              <a:off x="5891598" y="24486405"/>
              <a:ext cx="104003" cy="2504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ctr">
              <a:spAutoFit/>
            </a:bodyPr>
            <a:lstStyle/>
            <a:p>
              <a:pPr algn="ctr"/>
              <a:r>
                <a:rPr lang="en-NZ" sz="1600"/>
                <a:t>1</a:t>
              </a:r>
            </a:p>
          </xdr:txBody>
        </xdr:sp>
        <xdr:sp macro="" textlink="">
          <xdr:nvSpPr>
            <xdr:cNvPr id="61" name="TextBox 60">
              <a:extLst>
                <a:ext uri="{FF2B5EF4-FFF2-40B4-BE49-F238E27FC236}">
                  <a16:creationId xmlns:a16="http://schemas.microsoft.com/office/drawing/2014/main" id="{00000000-0008-0000-0900-00003D000000}"/>
                </a:ext>
              </a:extLst>
            </xdr:cNvPr>
            <xdr:cNvSpPr txBox="1"/>
          </xdr:nvSpPr>
          <xdr:spPr>
            <a:xfrm>
              <a:off x="8147321" y="24032588"/>
              <a:ext cx="208099" cy="2436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ctr">
              <a:spAutoFit/>
            </a:bodyPr>
            <a:lstStyle/>
            <a:p>
              <a:pPr algn="ctr"/>
              <a:r>
                <a:rPr lang="en-NZ" sz="1600"/>
                <a:t>14</a:t>
              </a:r>
            </a:p>
          </xdr:txBody>
        </xdr:sp>
        <xdr:sp macro="" textlink="">
          <xdr:nvSpPr>
            <xdr:cNvPr id="62" name="TextBox 61">
              <a:extLst>
                <a:ext uri="{FF2B5EF4-FFF2-40B4-BE49-F238E27FC236}">
                  <a16:creationId xmlns:a16="http://schemas.microsoft.com/office/drawing/2014/main" id="{00000000-0008-0000-0900-00003E000000}"/>
                </a:ext>
              </a:extLst>
            </xdr:cNvPr>
            <xdr:cNvSpPr txBox="1"/>
          </xdr:nvSpPr>
          <xdr:spPr>
            <a:xfrm>
              <a:off x="7763917" y="24544217"/>
              <a:ext cx="104049" cy="2436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ctr">
              <a:spAutoFit/>
            </a:bodyPr>
            <a:lstStyle/>
            <a:p>
              <a:pPr algn="ctr"/>
              <a:r>
                <a:rPr lang="en-NZ" sz="1600"/>
                <a:t>4</a:t>
              </a:r>
            </a:p>
          </xdr:txBody>
        </xdr:sp>
      </xdr:grpSp>
      <xdr:sp macro="" textlink="">
        <xdr:nvSpPr>
          <xdr:cNvPr id="56" name="TextBox 55">
            <a:extLst>
              <a:ext uri="{FF2B5EF4-FFF2-40B4-BE49-F238E27FC236}">
                <a16:creationId xmlns:a16="http://schemas.microsoft.com/office/drawing/2014/main" id="{00000000-0008-0000-0900-000038000000}"/>
              </a:ext>
            </a:extLst>
          </xdr:cNvPr>
          <xdr:cNvSpPr txBox="1"/>
        </xdr:nvSpPr>
        <xdr:spPr>
          <a:xfrm>
            <a:off x="5935141" y="24203377"/>
            <a:ext cx="208007" cy="2504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ctr">
            <a:noAutofit/>
          </a:bodyPr>
          <a:lstStyle/>
          <a:p>
            <a:pPr algn="ctr"/>
            <a:r>
              <a:rPr lang="en-NZ" sz="1600"/>
              <a:t>x</a:t>
            </a:r>
          </a:p>
        </xdr:txBody>
      </xdr:sp>
      <xdr:sp macro="" textlink="">
        <xdr:nvSpPr>
          <xdr:cNvPr id="57" name="TextBox 56">
            <a:extLst>
              <a:ext uri="{FF2B5EF4-FFF2-40B4-BE49-F238E27FC236}">
                <a16:creationId xmlns:a16="http://schemas.microsoft.com/office/drawing/2014/main" id="{00000000-0008-0000-0900-000039000000}"/>
              </a:ext>
            </a:extLst>
          </xdr:cNvPr>
          <xdr:cNvSpPr txBox="1"/>
        </xdr:nvSpPr>
        <xdr:spPr>
          <a:xfrm>
            <a:off x="8090512" y="24323120"/>
            <a:ext cx="208007" cy="2504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ctr">
            <a:noAutofit/>
          </a:bodyPr>
          <a:lstStyle/>
          <a:p>
            <a:pPr algn="ctr"/>
            <a:r>
              <a:rPr lang="en-NZ" sz="1600"/>
              <a:t>y</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Procedures\ADEGL.02%20Design\02.11%20Wind%20WAsP%20Requirements%20and%20Application\AAA-BBB-C-NN%20Site%20Specific%20Wind%20Speeds%20RevC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Investigation%20Proj\10%20-%2012-01%2012-02\TP.DL%2012.01%20Review\Probability%20of%20failur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ser Guide"/>
      <sheetName val="Site data"/>
      <sheetName val="QA"/>
      <sheetName val="Site Wind"/>
      <sheetName val="V1000 Design Wind"/>
      <sheetName val="Charts"/>
      <sheetName val="Structure Data"/>
      <sheetName val="Staking Table"/>
      <sheetName val="Span Heights"/>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7">
          <cell r="D7">
            <v>0</v>
          </cell>
          <cell r="H7">
            <v>16.68</v>
          </cell>
        </row>
        <row r="8">
          <cell r="D8">
            <v>0</v>
          </cell>
          <cell r="H8">
            <v>38.130000000000003</v>
          </cell>
        </row>
        <row r="9">
          <cell r="D9">
            <v>2.69</v>
          </cell>
          <cell r="H9">
            <v>6.63</v>
          </cell>
        </row>
        <row r="10">
          <cell r="D10">
            <v>2.99</v>
          </cell>
          <cell r="H10">
            <v>6.78</v>
          </cell>
        </row>
        <row r="11">
          <cell r="D11">
            <v>3.32</v>
          </cell>
          <cell r="H11">
            <v>6.92</v>
          </cell>
        </row>
        <row r="12">
          <cell r="D12">
            <v>49.61</v>
          </cell>
          <cell r="H12">
            <v>23.85</v>
          </cell>
        </row>
        <row r="13">
          <cell r="D13">
            <v>52.68</v>
          </cell>
          <cell r="H13">
            <v>5.95</v>
          </cell>
        </row>
        <row r="14">
          <cell r="D14">
            <v>52.92</v>
          </cell>
          <cell r="H14">
            <v>8.89</v>
          </cell>
        </row>
        <row r="15">
          <cell r="D15">
            <v>53.1</v>
          </cell>
          <cell r="H15">
            <v>12.2</v>
          </cell>
        </row>
        <row r="16">
          <cell r="D16">
            <v>86.73</v>
          </cell>
          <cell r="H16">
            <v>35.68</v>
          </cell>
        </row>
        <row r="17">
          <cell r="D17">
            <v>90.1</v>
          </cell>
          <cell r="H17">
            <v>22.11</v>
          </cell>
        </row>
        <row r="18">
          <cell r="D18">
            <v>90.34</v>
          </cell>
          <cell r="H18">
            <v>16.66</v>
          </cell>
        </row>
        <row r="19">
          <cell r="D19">
            <v>90.63</v>
          </cell>
          <cell r="H19">
            <v>11.13</v>
          </cell>
        </row>
        <row r="20">
          <cell r="D20">
            <v>136.72</v>
          </cell>
          <cell r="H20">
            <v>30.52</v>
          </cell>
        </row>
        <row r="21">
          <cell r="D21">
            <v>140.04</v>
          </cell>
          <cell r="H21">
            <v>17.399999999999999</v>
          </cell>
        </row>
        <row r="22">
          <cell r="D22">
            <v>140.28</v>
          </cell>
          <cell r="H22">
            <v>12.43</v>
          </cell>
        </row>
        <row r="23">
          <cell r="D23">
            <v>140.55000000000001</v>
          </cell>
          <cell r="H23">
            <v>6.6</v>
          </cell>
        </row>
        <row r="24">
          <cell r="D24">
            <v>186.72</v>
          </cell>
          <cell r="H24">
            <v>31.41</v>
          </cell>
        </row>
        <row r="25">
          <cell r="D25">
            <v>189.98</v>
          </cell>
          <cell r="H25">
            <v>18.809999999999999</v>
          </cell>
        </row>
        <row r="26">
          <cell r="D26">
            <v>190.21</v>
          </cell>
          <cell r="H26">
            <v>13.69</v>
          </cell>
        </row>
        <row r="27">
          <cell r="D27">
            <v>190.47</v>
          </cell>
          <cell r="H27">
            <v>8</v>
          </cell>
        </row>
        <row r="28">
          <cell r="D28">
            <v>321.23</v>
          </cell>
          <cell r="H28">
            <v>16.559999999999999</v>
          </cell>
        </row>
        <row r="29">
          <cell r="D29">
            <v>322.76</v>
          </cell>
          <cell r="H29">
            <v>6.63</v>
          </cell>
        </row>
        <row r="30">
          <cell r="D30">
            <v>323.10000000000002</v>
          </cell>
          <cell r="H30">
            <v>6.73</v>
          </cell>
        </row>
        <row r="31">
          <cell r="D31">
            <v>323.47000000000003</v>
          </cell>
          <cell r="H31">
            <v>6.84</v>
          </cell>
        </row>
        <row r="32">
          <cell r="D32">
            <v>371.11</v>
          </cell>
          <cell r="H32">
            <v>23.84</v>
          </cell>
        </row>
        <row r="33">
          <cell r="D33">
            <v>372.49</v>
          </cell>
          <cell r="H33">
            <v>4.4800000000000004</v>
          </cell>
        </row>
        <row r="34">
          <cell r="D34">
            <v>373.02</v>
          </cell>
          <cell r="H34">
            <v>8.15</v>
          </cell>
        </row>
        <row r="35">
          <cell r="D35">
            <v>373.46</v>
          </cell>
          <cell r="H35">
            <v>11.52</v>
          </cell>
        </row>
        <row r="36">
          <cell r="D36">
            <v>406.86</v>
          </cell>
          <cell r="H36">
            <v>35.369999999999997</v>
          </cell>
        </row>
        <row r="37">
          <cell r="D37">
            <v>409.54</v>
          </cell>
          <cell r="H37">
            <v>22.21</v>
          </cell>
        </row>
        <row r="38">
          <cell r="D38">
            <v>409.74</v>
          </cell>
          <cell r="H38">
            <v>16.7</v>
          </cell>
        </row>
        <row r="39">
          <cell r="D39">
            <v>409.95</v>
          </cell>
          <cell r="H39">
            <v>11.21</v>
          </cell>
        </row>
        <row r="40">
          <cell r="D40">
            <v>456.86</v>
          </cell>
          <cell r="H40">
            <v>29.19</v>
          </cell>
        </row>
        <row r="41">
          <cell r="D41">
            <v>459.54</v>
          </cell>
          <cell r="H41">
            <v>16.32</v>
          </cell>
        </row>
        <row r="42">
          <cell r="D42">
            <v>459.74</v>
          </cell>
          <cell r="H42">
            <v>10.96</v>
          </cell>
        </row>
        <row r="43">
          <cell r="D43">
            <v>459.95</v>
          </cell>
          <cell r="H43">
            <v>5.71</v>
          </cell>
        </row>
        <row r="44">
          <cell r="D44">
            <v>506.86</v>
          </cell>
          <cell r="H44">
            <v>31.08</v>
          </cell>
        </row>
        <row r="45">
          <cell r="D45">
            <v>509.54</v>
          </cell>
          <cell r="H45">
            <v>18.63</v>
          </cell>
        </row>
        <row r="46">
          <cell r="D46">
            <v>509.74</v>
          </cell>
          <cell r="H46">
            <v>13.22</v>
          </cell>
        </row>
        <row r="47">
          <cell r="D47">
            <v>509.95</v>
          </cell>
          <cell r="H47">
            <v>7.87</v>
          </cell>
        </row>
        <row r="48">
          <cell r="D48">
            <v>536.65</v>
          </cell>
          <cell r="H48">
            <v>35.14</v>
          </cell>
        </row>
        <row r="49">
          <cell r="D49">
            <v>537.44000000000005</v>
          </cell>
          <cell r="H49">
            <v>34.81</v>
          </cell>
        </row>
        <row r="50">
          <cell r="D50">
            <v>538.88</v>
          </cell>
          <cell r="H50">
            <v>21.9</v>
          </cell>
        </row>
        <row r="51">
          <cell r="D51">
            <v>538.98</v>
          </cell>
          <cell r="H51">
            <v>16.43</v>
          </cell>
        </row>
        <row r="52">
          <cell r="D52">
            <v>539.09</v>
          </cell>
          <cell r="H52">
            <v>10.96</v>
          </cell>
        </row>
        <row r="53">
          <cell r="D53">
            <v>540.77</v>
          </cell>
          <cell r="H53">
            <v>21.55</v>
          </cell>
        </row>
        <row r="54">
          <cell r="D54">
            <v>540.97</v>
          </cell>
          <cell r="H54">
            <v>16.059999999999999</v>
          </cell>
        </row>
        <row r="55">
          <cell r="D55">
            <v>541.29</v>
          </cell>
          <cell r="H55">
            <v>10.54</v>
          </cell>
        </row>
        <row r="56">
          <cell r="D56">
            <v>586.65</v>
          </cell>
          <cell r="H56">
            <v>36.04</v>
          </cell>
        </row>
        <row r="57">
          <cell r="D57">
            <v>587.44000000000005</v>
          </cell>
          <cell r="H57">
            <v>35.86</v>
          </cell>
        </row>
        <row r="58">
          <cell r="D58">
            <v>588.88</v>
          </cell>
          <cell r="H58">
            <v>23.15</v>
          </cell>
        </row>
        <row r="59">
          <cell r="D59">
            <v>588.98</v>
          </cell>
          <cell r="H59">
            <v>17.73</v>
          </cell>
        </row>
        <row r="60">
          <cell r="D60">
            <v>589.09</v>
          </cell>
          <cell r="H60">
            <v>12.4</v>
          </cell>
        </row>
        <row r="61">
          <cell r="D61">
            <v>590.77</v>
          </cell>
          <cell r="H61">
            <v>22.26</v>
          </cell>
        </row>
        <row r="62">
          <cell r="D62">
            <v>590.96</v>
          </cell>
          <cell r="H62">
            <v>16.809999999999999</v>
          </cell>
        </row>
        <row r="63">
          <cell r="D63">
            <v>591.29</v>
          </cell>
          <cell r="H63">
            <v>11.28</v>
          </cell>
        </row>
        <row r="64">
          <cell r="D64">
            <v>636.65</v>
          </cell>
          <cell r="H64">
            <v>35.96</v>
          </cell>
        </row>
        <row r="65">
          <cell r="D65">
            <v>637.44000000000005</v>
          </cell>
          <cell r="H65">
            <v>35.56</v>
          </cell>
        </row>
        <row r="66">
          <cell r="D66">
            <v>638.88</v>
          </cell>
          <cell r="H66">
            <v>22.42</v>
          </cell>
        </row>
        <row r="67">
          <cell r="D67">
            <v>638.98</v>
          </cell>
          <cell r="H67">
            <v>16.97</v>
          </cell>
        </row>
        <row r="68">
          <cell r="D68">
            <v>639.09</v>
          </cell>
          <cell r="H68">
            <v>11.62</v>
          </cell>
        </row>
        <row r="69">
          <cell r="D69">
            <v>640.77</v>
          </cell>
          <cell r="H69">
            <v>21.41</v>
          </cell>
        </row>
        <row r="70">
          <cell r="D70">
            <v>640.96</v>
          </cell>
          <cell r="H70">
            <v>15.96</v>
          </cell>
        </row>
        <row r="71">
          <cell r="D71">
            <v>641.29</v>
          </cell>
          <cell r="H71">
            <v>10.34</v>
          </cell>
        </row>
        <row r="72">
          <cell r="D72">
            <v>686.65</v>
          </cell>
          <cell r="H72">
            <v>35.65</v>
          </cell>
        </row>
        <row r="73">
          <cell r="D73">
            <v>687.44</v>
          </cell>
          <cell r="H73">
            <v>35.58</v>
          </cell>
        </row>
        <row r="74">
          <cell r="D74">
            <v>688.88</v>
          </cell>
          <cell r="H74">
            <v>22.72</v>
          </cell>
        </row>
        <row r="75">
          <cell r="D75">
            <v>688.98</v>
          </cell>
          <cell r="H75">
            <v>17.260000000000002</v>
          </cell>
        </row>
        <row r="76">
          <cell r="D76">
            <v>689.09</v>
          </cell>
          <cell r="H76">
            <v>11.82</v>
          </cell>
        </row>
        <row r="77">
          <cell r="D77">
            <v>690.77</v>
          </cell>
          <cell r="H77">
            <v>21.85</v>
          </cell>
        </row>
        <row r="78">
          <cell r="D78">
            <v>690.96</v>
          </cell>
          <cell r="H78">
            <v>16.41</v>
          </cell>
        </row>
        <row r="79">
          <cell r="D79">
            <v>691.29</v>
          </cell>
          <cell r="H79">
            <v>10.99</v>
          </cell>
        </row>
        <row r="80">
          <cell r="D80">
            <v>691.82</v>
          </cell>
          <cell r="H80">
            <v>16.649999999999999</v>
          </cell>
        </row>
        <row r="81">
          <cell r="D81">
            <v>691.83</v>
          </cell>
          <cell r="H81">
            <v>22.13</v>
          </cell>
        </row>
        <row r="82">
          <cell r="D82">
            <v>691.84</v>
          </cell>
          <cell r="H82">
            <v>11.16</v>
          </cell>
        </row>
        <row r="83">
          <cell r="D83">
            <v>691.87</v>
          </cell>
          <cell r="H83">
            <v>12.02</v>
          </cell>
        </row>
        <row r="84">
          <cell r="D84">
            <v>691.88</v>
          </cell>
          <cell r="H84">
            <v>17.57</v>
          </cell>
        </row>
        <row r="85">
          <cell r="D85">
            <v>691.88</v>
          </cell>
          <cell r="H85">
            <v>36.07</v>
          </cell>
        </row>
        <row r="86">
          <cell r="D86">
            <v>691.89</v>
          </cell>
          <cell r="H86">
            <v>35.9</v>
          </cell>
        </row>
        <row r="87">
          <cell r="D87">
            <v>691.93</v>
          </cell>
          <cell r="H87">
            <v>23.05</v>
          </cell>
        </row>
        <row r="88">
          <cell r="D88">
            <v>741.8</v>
          </cell>
          <cell r="H88">
            <v>13.79</v>
          </cell>
        </row>
        <row r="89">
          <cell r="D89">
            <v>741.82</v>
          </cell>
          <cell r="H89">
            <v>19</v>
          </cell>
        </row>
        <row r="90">
          <cell r="D90">
            <v>741.87</v>
          </cell>
          <cell r="H90">
            <v>37.729999999999997</v>
          </cell>
        </row>
        <row r="91">
          <cell r="D91">
            <v>741.88</v>
          </cell>
          <cell r="H91">
            <v>18.62</v>
          </cell>
        </row>
        <row r="92">
          <cell r="D92">
            <v>741.89</v>
          </cell>
          <cell r="H92">
            <v>37.76</v>
          </cell>
        </row>
        <row r="93">
          <cell r="D93">
            <v>741.89</v>
          </cell>
          <cell r="H93">
            <v>24.03</v>
          </cell>
        </row>
        <row r="94">
          <cell r="D94">
            <v>741.91</v>
          </cell>
          <cell r="H94">
            <v>13</v>
          </cell>
        </row>
        <row r="95">
          <cell r="D95">
            <v>741.93</v>
          </cell>
          <cell r="H95">
            <v>24.44</v>
          </cell>
        </row>
        <row r="96">
          <cell r="D96">
            <v>791.8</v>
          </cell>
          <cell r="H96">
            <v>11.21</v>
          </cell>
        </row>
        <row r="97">
          <cell r="D97">
            <v>791.82</v>
          </cell>
          <cell r="H97">
            <v>16.260000000000002</v>
          </cell>
        </row>
        <row r="98">
          <cell r="D98">
            <v>791.87</v>
          </cell>
          <cell r="H98">
            <v>34.85</v>
          </cell>
        </row>
        <row r="99">
          <cell r="D99">
            <v>791.88</v>
          </cell>
          <cell r="H99">
            <v>15.55</v>
          </cell>
        </row>
        <row r="100">
          <cell r="D100">
            <v>791.89</v>
          </cell>
          <cell r="H100">
            <v>34.79</v>
          </cell>
        </row>
        <row r="101">
          <cell r="D101">
            <v>791.89</v>
          </cell>
          <cell r="H101">
            <v>20.93</v>
          </cell>
        </row>
        <row r="102">
          <cell r="D102">
            <v>791.91</v>
          </cell>
          <cell r="H102">
            <v>9.8000000000000007</v>
          </cell>
        </row>
        <row r="103">
          <cell r="D103">
            <v>791.93</v>
          </cell>
          <cell r="H103">
            <v>21.66</v>
          </cell>
        </row>
        <row r="104">
          <cell r="D104">
            <v>841.8</v>
          </cell>
          <cell r="H104">
            <v>9.1</v>
          </cell>
        </row>
        <row r="105">
          <cell r="D105">
            <v>841.82</v>
          </cell>
          <cell r="H105">
            <v>14.05</v>
          </cell>
        </row>
        <row r="106">
          <cell r="D106">
            <v>841.87</v>
          </cell>
          <cell r="H106">
            <v>32.64</v>
          </cell>
        </row>
        <row r="107">
          <cell r="D107">
            <v>841.88</v>
          </cell>
          <cell r="H107">
            <v>14.02</v>
          </cell>
        </row>
        <row r="108">
          <cell r="D108">
            <v>841.89</v>
          </cell>
          <cell r="H108">
            <v>32.79</v>
          </cell>
        </row>
        <row r="109">
          <cell r="D109">
            <v>841.89</v>
          </cell>
          <cell r="H109">
            <v>19.37</v>
          </cell>
        </row>
        <row r="110">
          <cell r="D110">
            <v>841.91</v>
          </cell>
          <cell r="H110">
            <v>8.3000000000000007</v>
          </cell>
        </row>
        <row r="111">
          <cell r="D111">
            <v>841.93</v>
          </cell>
          <cell r="H111">
            <v>19.440000000000001</v>
          </cell>
        </row>
        <row r="112">
          <cell r="D112">
            <v>891.8</v>
          </cell>
          <cell r="H112">
            <v>15.18</v>
          </cell>
        </row>
        <row r="113">
          <cell r="D113">
            <v>891.82</v>
          </cell>
          <cell r="H113">
            <v>20.07</v>
          </cell>
        </row>
        <row r="114">
          <cell r="D114">
            <v>891.87</v>
          </cell>
          <cell r="H114">
            <v>38.950000000000003</v>
          </cell>
        </row>
        <row r="115">
          <cell r="D115">
            <v>891.88</v>
          </cell>
          <cell r="H115">
            <v>20.13</v>
          </cell>
        </row>
        <row r="116">
          <cell r="D116">
            <v>891.89</v>
          </cell>
          <cell r="H116">
            <v>39.130000000000003</v>
          </cell>
        </row>
        <row r="117">
          <cell r="D117">
            <v>891.89</v>
          </cell>
          <cell r="H117">
            <v>25.47</v>
          </cell>
        </row>
        <row r="118">
          <cell r="D118">
            <v>891.91</v>
          </cell>
          <cell r="H118">
            <v>14.38</v>
          </cell>
        </row>
        <row r="119">
          <cell r="D119">
            <v>891.93</v>
          </cell>
          <cell r="H119">
            <v>25.48</v>
          </cell>
        </row>
        <row r="120">
          <cell r="D120">
            <v>941.8</v>
          </cell>
          <cell r="H120">
            <v>15.49</v>
          </cell>
        </row>
        <row r="121">
          <cell r="D121">
            <v>941.82</v>
          </cell>
          <cell r="H121">
            <v>20.440000000000001</v>
          </cell>
        </row>
        <row r="122">
          <cell r="D122">
            <v>941.87</v>
          </cell>
          <cell r="H122">
            <v>38.97</v>
          </cell>
        </row>
        <row r="123">
          <cell r="D123">
            <v>941.88</v>
          </cell>
          <cell r="H123">
            <v>19.690000000000001</v>
          </cell>
        </row>
        <row r="124">
          <cell r="D124">
            <v>941.89</v>
          </cell>
          <cell r="H124">
            <v>38.65</v>
          </cell>
        </row>
        <row r="125">
          <cell r="D125">
            <v>941.89</v>
          </cell>
          <cell r="H125">
            <v>25.04</v>
          </cell>
        </row>
        <row r="126">
          <cell r="D126">
            <v>941.91</v>
          </cell>
          <cell r="H126">
            <v>13.98</v>
          </cell>
        </row>
        <row r="127">
          <cell r="D127">
            <v>941.93</v>
          </cell>
          <cell r="H127">
            <v>25.8</v>
          </cell>
        </row>
        <row r="128">
          <cell r="D128">
            <v>991.8</v>
          </cell>
          <cell r="H128">
            <v>15.62</v>
          </cell>
        </row>
        <row r="129">
          <cell r="D129">
            <v>991.82</v>
          </cell>
          <cell r="H129">
            <v>20.69</v>
          </cell>
        </row>
        <row r="130">
          <cell r="D130">
            <v>991.87</v>
          </cell>
          <cell r="H130">
            <v>39.26</v>
          </cell>
        </row>
        <row r="131">
          <cell r="D131">
            <v>991.88</v>
          </cell>
          <cell r="H131">
            <v>20.13</v>
          </cell>
        </row>
        <row r="132">
          <cell r="D132">
            <v>991.89</v>
          </cell>
          <cell r="H132">
            <v>39.130000000000003</v>
          </cell>
        </row>
        <row r="133">
          <cell r="D133">
            <v>991.89</v>
          </cell>
          <cell r="H133">
            <v>25.51</v>
          </cell>
        </row>
        <row r="134">
          <cell r="D134">
            <v>991.91</v>
          </cell>
          <cell r="H134">
            <v>14.46</v>
          </cell>
        </row>
        <row r="135">
          <cell r="D135">
            <v>991.93</v>
          </cell>
          <cell r="H135">
            <v>26.09</v>
          </cell>
        </row>
        <row r="136">
          <cell r="D136">
            <v>1041.8</v>
          </cell>
          <cell r="H136">
            <v>16.510000000000002</v>
          </cell>
        </row>
        <row r="137">
          <cell r="D137">
            <v>1041.82</v>
          </cell>
          <cell r="H137">
            <v>21.8</v>
          </cell>
        </row>
        <row r="138">
          <cell r="D138">
            <v>1041.8699999999999</v>
          </cell>
          <cell r="H138">
            <v>40.57</v>
          </cell>
        </row>
        <row r="139">
          <cell r="D139">
            <v>1041.8800000000001</v>
          </cell>
          <cell r="H139">
            <v>20.93</v>
          </cell>
        </row>
        <row r="140">
          <cell r="D140">
            <v>1041.8900000000001</v>
          </cell>
          <cell r="H140">
            <v>40.33</v>
          </cell>
        </row>
        <row r="141">
          <cell r="D141">
            <v>1041.8900000000001</v>
          </cell>
          <cell r="H141">
            <v>26.37</v>
          </cell>
        </row>
        <row r="142">
          <cell r="D142">
            <v>1041.9100000000001</v>
          </cell>
          <cell r="H142">
            <v>15.34</v>
          </cell>
        </row>
        <row r="143">
          <cell r="D143">
            <v>1041.93</v>
          </cell>
          <cell r="H143">
            <v>27.25</v>
          </cell>
        </row>
        <row r="144">
          <cell r="D144">
            <v>1069.29</v>
          </cell>
          <cell r="H144">
            <v>41.33</v>
          </cell>
        </row>
        <row r="145">
          <cell r="D145">
            <v>1069.3</v>
          </cell>
          <cell r="H145">
            <v>41.53</v>
          </cell>
        </row>
        <row r="146">
          <cell r="D146">
            <v>1069.31</v>
          </cell>
          <cell r="H146">
            <v>22.07</v>
          </cell>
        </row>
        <row r="147">
          <cell r="D147">
            <v>1069.32</v>
          </cell>
          <cell r="H147">
            <v>27.55</v>
          </cell>
        </row>
        <row r="148">
          <cell r="D148">
            <v>1069.3399999999999</v>
          </cell>
          <cell r="H148">
            <v>22.82</v>
          </cell>
        </row>
        <row r="149">
          <cell r="D149">
            <v>1069.4000000000001</v>
          </cell>
          <cell r="H149">
            <v>17.399999999999999</v>
          </cell>
        </row>
        <row r="150">
          <cell r="D150">
            <v>1069.4100000000001</v>
          </cell>
          <cell r="H150">
            <v>28.31</v>
          </cell>
        </row>
        <row r="151">
          <cell r="D151">
            <v>1069.42</v>
          </cell>
          <cell r="H151">
            <v>16.53</v>
          </cell>
        </row>
        <row r="152">
          <cell r="D152">
            <v>1119.29</v>
          </cell>
          <cell r="H152">
            <v>41.69</v>
          </cell>
        </row>
        <row r="153">
          <cell r="D153">
            <v>1119.3</v>
          </cell>
          <cell r="H153">
            <v>41.6</v>
          </cell>
        </row>
        <row r="154">
          <cell r="D154">
            <v>1119.31</v>
          </cell>
          <cell r="H154">
            <v>22.49</v>
          </cell>
        </row>
        <row r="155">
          <cell r="D155">
            <v>1119.32</v>
          </cell>
          <cell r="H155">
            <v>27.91</v>
          </cell>
        </row>
        <row r="156">
          <cell r="D156">
            <v>1119.3399999999999</v>
          </cell>
          <cell r="H156">
            <v>22.54</v>
          </cell>
        </row>
        <row r="157">
          <cell r="D157">
            <v>1119.4000000000001</v>
          </cell>
          <cell r="H157">
            <v>17.29</v>
          </cell>
        </row>
        <row r="158">
          <cell r="D158">
            <v>1119.4100000000001</v>
          </cell>
          <cell r="H158">
            <v>27.99</v>
          </cell>
        </row>
        <row r="159">
          <cell r="D159">
            <v>1119.42</v>
          </cell>
          <cell r="H159">
            <v>16.87</v>
          </cell>
        </row>
        <row r="160">
          <cell r="D160">
            <v>1169.29</v>
          </cell>
          <cell r="H160">
            <v>39.090000000000003</v>
          </cell>
        </row>
        <row r="161">
          <cell r="D161">
            <v>1169.3</v>
          </cell>
          <cell r="H161">
            <v>39.18</v>
          </cell>
        </row>
        <row r="162">
          <cell r="D162">
            <v>1169.31</v>
          </cell>
          <cell r="H162">
            <v>20.23</v>
          </cell>
        </row>
        <row r="163">
          <cell r="D163">
            <v>1169.32</v>
          </cell>
          <cell r="H163">
            <v>25.61</v>
          </cell>
        </row>
        <row r="164">
          <cell r="D164">
            <v>1169.3399999999999</v>
          </cell>
          <cell r="H164">
            <v>20.46</v>
          </cell>
        </row>
        <row r="165">
          <cell r="D165">
            <v>1169.4000000000001</v>
          </cell>
          <cell r="H165">
            <v>15.34</v>
          </cell>
        </row>
        <row r="166">
          <cell r="D166">
            <v>1169.4100000000001</v>
          </cell>
          <cell r="H166">
            <v>25.89</v>
          </cell>
        </row>
        <row r="167">
          <cell r="D167">
            <v>1169.42</v>
          </cell>
          <cell r="H167">
            <v>14.65</v>
          </cell>
        </row>
        <row r="168">
          <cell r="D168">
            <v>1219.29</v>
          </cell>
          <cell r="H168">
            <v>36.630000000000003</v>
          </cell>
        </row>
        <row r="169">
          <cell r="D169">
            <v>1219.3</v>
          </cell>
          <cell r="H169">
            <v>36.799999999999997</v>
          </cell>
        </row>
        <row r="170">
          <cell r="D170">
            <v>1219.31</v>
          </cell>
          <cell r="H170">
            <v>17.920000000000002</v>
          </cell>
        </row>
        <row r="171">
          <cell r="D171">
            <v>1219.32</v>
          </cell>
          <cell r="H171">
            <v>23.27</v>
          </cell>
        </row>
        <row r="172">
          <cell r="D172">
            <v>1219.3399999999999</v>
          </cell>
          <cell r="H172">
            <v>17.73</v>
          </cell>
        </row>
        <row r="173">
          <cell r="D173">
            <v>1219.4000000000001</v>
          </cell>
          <cell r="H173">
            <v>12.84</v>
          </cell>
        </row>
        <row r="174">
          <cell r="D174">
            <v>1219.4100000000001</v>
          </cell>
          <cell r="H174">
            <v>23.14</v>
          </cell>
        </row>
        <row r="175">
          <cell r="D175">
            <v>1219.42</v>
          </cell>
          <cell r="H175">
            <v>12.35</v>
          </cell>
        </row>
        <row r="176">
          <cell r="D176">
            <v>1269.29</v>
          </cell>
          <cell r="H176">
            <v>37.35</v>
          </cell>
        </row>
        <row r="177">
          <cell r="D177">
            <v>1269.3</v>
          </cell>
          <cell r="H177">
            <v>36.74</v>
          </cell>
        </row>
        <row r="178">
          <cell r="D178">
            <v>1269.31</v>
          </cell>
          <cell r="H178">
            <v>18.760000000000002</v>
          </cell>
        </row>
        <row r="179">
          <cell r="D179">
            <v>1269.32</v>
          </cell>
          <cell r="H179">
            <v>24.11</v>
          </cell>
        </row>
        <row r="180">
          <cell r="D180">
            <v>1269.3399999999999</v>
          </cell>
          <cell r="H180">
            <v>17.079999999999998</v>
          </cell>
        </row>
        <row r="181">
          <cell r="D181">
            <v>1269.4000000000001</v>
          </cell>
          <cell r="H181">
            <v>12.1</v>
          </cell>
        </row>
        <row r="182">
          <cell r="D182">
            <v>1269.4100000000001</v>
          </cell>
          <cell r="H182">
            <v>22.52</v>
          </cell>
        </row>
        <row r="183">
          <cell r="D183">
            <v>1269.42</v>
          </cell>
          <cell r="H183">
            <v>13.15</v>
          </cell>
        </row>
        <row r="184">
          <cell r="D184">
            <v>1319.29</v>
          </cell>
          <cell r="H184">
            <v>36.020000000000003</v>
          </cell>
        </row>
        <row r="185">
          <cell r="D185">
            <v>1319.3</v>
          </cell>
          <cell r="H185">
            <v>36.15</v>
          </cell>
        </row>
        <row r="186">
          <cell r="D186">
            <v>1319.31</v>
          </cell>
          <cell r="H186">
            <v>17.260000000000002</v>
          </cell>
        </row>
        <row r="187">
          <cell r="D187">
            <v>1319.32</v>
          </cell>
          <cell r="H187">
            <v>22.63</v>
          </cell>
        </row>
        <row r="188">
          <cell r="D188">
            <v>1319.34</v>
          </cell>
          <cell r="H188">
            <v>17.38</v>
          </cell>
        </row>
        <row r="189">
          <cell r="D189">
            <v>1319.4</v>
          </cell>
          <cell r="H189">
            <v>12.38</v>
          </cell>
        </row>
        <row r="190">
          <cell r="D190">
            <v>1319.41</v>
          </cell>
          <cell r="H190">
            <v>22.82</v>
          </cell>
        </row>
        <row r="191">
          <cell r="D191">
            <v>1319.42</v>
          </cell>
          <cell r="H191">
            <v>11.66</v>
          </cell>
        </row>
        <row r="192">
          <cell r="D192">
            <v>1369.29</v>
          </cell>
          <cell r="H192">
            <v>36.770000000000003</v>
          </cell>
        </row>
        <row r="193">
          <cell r="D193">
            <v>1369.3</v>
          </cell>
          <cell r="H193">
            <v>37.01</v>
          </cell>
        </row>
        <row r="194">
          <cell r="D194">
            <v>1369.31</v>
          </cell>
          <cell r="H194">
            <v>18.12</v>
          </cell>
        </row>
        <row r="195">
          <cell r="D195">
            <v>1369.32</v>
          </cell>
          <cell r="H195">
            <v>23.52</v>
          </cell>
        </row>
        <row r="196">
          <cell r="D196">
            <v>1369.34</v>
          </cell>
          <cell r="H196">
            <v>17.93</v>
          </cell>
        </row>
        <row r="197">
          <cell r="D197">
            <v>1369.4</v>
          </cell>
          <cell r="H197">
            <v>12.76</v>
          </cell>
        </row>
        <row r="198">
          <cell r="D198">
            <v>1369.41</v>
          </cell>
          <cell r="H198">
            <v>23.39</v>
          </cell>
        </row>
        <row r="199">
          <cell r="D199">
            <v>1369.42</v>
          </cell>
          <cell r="H199">
            <v>12.6</v>
          </cell>
        </row>
        <row r="200">
          <cell r="D200">
            <v>1419.29</v>
          </cell>
          <cell r="H200">
            <v>40.42</v>
          </cell>
        </row>
        <row r="201">
          <cell r="D201">
            <v>1419.3</v>
          </cell>
          <cell r="H201">
            <v>40.43</v>
          </cell>
        </row>
        <row r="202">
          <cell r="D202">
            <v>1419.31</v>
          </cell>
          <cell r="H202">
            <v>21.68</v>
          </cell>
        </row>
        <row r="203">
          <cell r="D203">
            <v>1419.32</v>
          </cell>
          <cell r="H203">
            <v>27.13</v>
          </cell>
        </row>
        <row r="204">
          <cell r="D204">
            <v>1419.34</v>
          </cell>
          <cell r="H204">
            <v>21.44</v>
          </cell>
        </row>
        <row r="205">
          <cell r="D205">
            <v>1419.4</v>
          </cell>
          <cell r="H205">
            <v>16</v>
          </cell>
        </row>
        <row r="206">
          <cell r="D206">
            <v>1419.41</v>
          </cell>
          <cell r="H206">
            <v>26.92</v>
          </cell>
        </row>
        <row r="207">
          <cell r="D207">
            <v>1419.42</v>
          </cell>
          <cell r="H207">
            <v>16.25</v>
          </cell>
        </row>
        <row r="208">
          <cell r="D208">
            <v>1432.76</v>
          </cell>
          <cell r="H208">
            <v>41.08</v>
          </cell>
        </row>
        <row r="209">
          <cell r="D209">
            <v>1432.76</v>
          </cell>
          <cell r="H209">
            <v>40.96</v>
          </cell>
        </row>
        <row r="210">
          <cell r="D210">
            <v>1432.81</v>
          </cell>
          <cell r="H210">
            <v>21.47</v>
          </cell>
        </row>
        <row r="211">
          <cell r="D211">
            <v>1432.83</v>
          </cell>
          <cell r="H211">
            <v>22.15</v>
          </cell>
        </row>
        <row r="212">
          <cell r="D212">
            <v>1432.86</v>
          </cell>
          <cell r="H212">
            <v>26.94</v>
          </cell>
        </row>
        <row r="213">
          <cell r="D213">
            <v>1432.86</v>
          </cell>
          <cell r="H213">
            <v>16.7</v>
          </cell>
        </row>
        <row r="214">
          <cell r="D214">
            <v>1432.87</v>
          </cell>
          <cell r="H214">
            <v>27.63</v>
          </cell>
        </row>
        <row r="215">
          <cell r="D215">
            <v>1432.87</v>
          </cell>
          <cell r="H215">
            <v>15.9</v>
          </cell>
        </row>
        <row r="216">
          <cell r="D216">
            <v>1482.76</v>
          </cell>
          <cell r="H216">
            <v>38.49</v>
          </cell>
        </row>
        <row r="217">
          <cell r="D217">
            <v>1482.76</v>
          </cell>
          <cell r="H217">
            <v>38.229999999999997</v>
          </cell>
        </row>
        <row r="218">
          <cell r="D218">
            <v>1482.81</v>
          </cell>
          <cell r="H218">
            <v>18.95</v>
          </cell>
        </row>
        <row r="219">
          <cell r="D219">
            <v>1482.83</v>
          </cell>
          <cell r="H219">
            <v>19.7</v>
          </cell>
        </row>
        <row r="220">
          <cell r="D220">
            <v>1482.86</v>
          </cell>
          <cell r="H220">
            <v>24.42</v>
          </cell>
        </row>
        <row r="221">
          <cell r="D221">
            <v>1482.86</v>
          </cell>
          <cell r="H221">
            <v>14.19</v>
          </cell>
        </row>
        <row r="222">
          <cell r="D222">
            <v>1482.87</v>
          </cell>
          <cell r="H222">
            <v>25.14</v>
          </cell>
        </row>
        <row r="223">
          <cell r="D223">
            <v>1482.87</v>
          </cell>
          <cell r="H223">
            <v>13.66</v>
          </cell>
        </row>
        <row r="224">
          <cell r="D224">
            <v>1532.76</v>
          </cell>
          <cell r="H224">
            <v>35.950000000000003</v>
          </cell>
        </row>
        <row r="225">
          <cell r="D225">
            <v>1532.76</v>
          </cell>
          <cell r="H225">
            <v>35.619999999999997</v>
          </cell>
        </row>
        <row r="226">
          <cell r="D226">
            <v>1532.81</v>
          </cell>
          <cell r="H226">
            <v>15.71</v>
          </cell>
        </row>
        <row r="227">
          <cell r="D227">
            <v>1532.83</v>
          </cell>
          <cell r="H227">
            <v>17.11</v>
          </cell>
        </row>
        <row r="228">
          <cell r="D228">
            <v>1532.86</v>
          </cell>
          <cell r="H228">
            <v>21.2</v>
          </cell>
        </row>
        <row r="229">
          <cell r="D229">
            <v>1532.86</v>
          </cell>
          <cell r="H229">
            <v>11.59</v>
          </cell>
        </row>
        <row r="230">
          <cell r="D230">
            <v>1532.87</v>
          </cell>
          <cell r="H230">
            <v>22.53</v>
          </cell>
        </row>
        <row r="231">
          <cell r="D231">
            <v>1532.87</v>
          </cell>
          <cell r="H231">
            <v>10.47</v>
          </cell>
        </row>
        <row r="232">
          <cell r="D232">
            <v>1582.76</v>
          </cell>
          <cell r="H232">
            <v>35.83</v>
          </cell>
        </row>
        <row r="233">
          <cell r="D233">
            <v>1582.76</v>
          </cell>
          <cell r="H233">
            <v>35.799999999999997</v>
          </cell>
        </row>
        <row r="234">
          <cell r="D234">
            <v>1582.81</v>
          </cell>
          <cell r="H234">
            <v>16.46</v>
          </cell>
        </row>
        <row r="235">
          <cell r="D235">
            <v>1582.83</v>
          </cell>
          <cell r="H235">
            <v>16.690000000000001</v>
          </cell>
        </row>
        <row r="236">
          <cell r="D236">
            <v>1582.86</v>
          </cell>
          <cell r="H236">
            <v>21.93</v>
          </cell>
        </row>
        <row r="237">
          <cell r="D237">
            <v>1582.86</v>
          </cell>
          <cell r="H237">
            <v>11.13</v>
          </cell>
        </row>
        <row r="238">
          <cell r="D238">
            <v>1582.87</v>
          </cell>
          <cell r="H238">
            <v>22.11</v>
          </cell>
        </row>
        <row r="239">
          <cell r="D239">
            <v>1582.87</v>
          </cell>
          <cell r="H239">
            <v>11.31</v>
          </cell>
        </row>
        <row r="240">
          <cell r="D240">
            <v>1632.76</v>
          </cell>
          <cell r="H240">
            <v>37.28</v>
          </cell>
        </row>
        <row r="241">
          <cell r="D241">
            <v>1632.76</v>
          </cell>
          <cell r="H241">
            <v>36.869999999999997</v>
          </cell>
        </row>
        <row r="242">
          <cell r="D242">
            <v>1632.81</v>
          </cell>
          <cell r="H242">
            <v>17.260000000000002</v>
          </cell>
        </row>
        <row r="243">
          <cell r="D243">
            <v>1632.83</v>
          </cell>
          <cell r="H243">
            <v>18.420000000000002</v>
          </cell>
        </row>
        <row r="244">
          <cell r="D244">
            <v>1632.86</v>
          </cell>
          <cell r="H244">
            <v>22.73</v>
          </cell>
        </row>
        <row r="245">
          <cell r="D245">
            <v>1632.86</v>
          </cell>
          <cell r="H245">
            <v>12.89</v>
          </cell>
        </row>
        <row r="246">
          <cell r="D246">
            <v>1632.87</v>
          </cell>
          <cell r="H246">
            <v>23.84</v>
          </cell>
        </row>
        <row r="247">
          <cell r="D247">
            <v>1632.87</v>
          </cell>
          <cell r="H247">
            <v>11.99</v>
          </cell>
        </row>
        <row r="248">
          <cell r="D248">
            <v>1682.76</v>
          </cell>
          <cell r="H248">
            <v>39.32</v>
          </cell>
        </row>
        <row r="249">
          <cell r="D249">
            <v>1682.76</v>
          </cell>
          <cell r="H249">
            <v>38.71</v>
          </cell>
        </row>
        <row r="250">
          <cell r="D250">
            <v>1682.81</v>
          </cell>
          <cell r="H250">
            <v>18.47</v>
          </cell>
        </row>
        <row r="251">
          <cell r="D251">
            <v>1682.83</v>
          </cell>
          <cell r="H251">
            <v>20.89</v>
          </cell>
        </row>
        <row r="252">
          <cell r="D252">
            <v>1682.86</v>
          </cell>
          <cell r="H252">
            <v>23.95</v>
          </cell>
        </row>
        <row r="253">
          <cell r="D253">
            <v>1682.86</v>
          </cell>
          <cell r="H253">
            <v>15.44</v>
          </cell>
        </row>
        <row r="254">
          <cell r="D254">
            <v>1682.87</v>
          </cell>
          <cell r="H254">
            <v>26.33</v>
          </cell>
        </row>
        <row r="255">
          <cell r="D255">
            <v>1682.87</v>
          </cell>
          <cell r="H255">
            <v>13.08</v>
          </cell>
        </row>
        <row r="256">
          <cell r="D256">
            <v>1713.4</v>
          </cell>
          <cell r="H256">
            <v>40.68</v>
          </cell>
        </row>
        <row r="257">
          <cell r="D257">
            <v>1713.4</v>
          </cell>
          <cell r="H257">
            <v>40.78</v>
          </cell>
        </row>
        <row r="258">
          <cell r="D258">
            <v>1713.41</v>
          </cell>
          <cell r="H258">
            <v>21.39</v>
          </cell>
        </row>
        <row r="259">
          <cell r="D259">
            <v>1713.43</v>
          </cell>
          <cell r="H259">
            <v>21.69</v>
          </cell>
        </row>
        <row r="260">
          <cell r="D260">
            <v>1713.43</v>
          </cell>
          <cell r="H260">
            <v>26.87</v>
          </cell>
        </row>
        <row r="261">
          <cell r="D261">
            <v>1713.44</v>
          </cell>
          <cell r="H261">
            <v>15.91</v>
          </cell>
        </row>
        <row r="262">
          <cell r="D262">
            <v>1713.45</v>
          </cell>
          <cell r="H262">
            <v>16.18</v>
          </cell>
        </row>
        <row r="263">
          <cell r="D263">
            <v>1713.46</v>
          </cell>
          <cell r="H263">
            <v>27.17</v>
          </cell>
        </row>
        <row r="264">
          <cell r="D264">
            <v>1763.4</v>
          </cell>
          <cell r="H264">
            <v>36.25</v>
          </cell>
        </row>
        <row r="265">
          <cell r="D265">
            <v>1763.4</v>
          </cell>
          <cell r="H265">
            <v>36.229999999999997</v>
          </cell>
        </row>
        <row r="266">
          <cell r="D266">
            <v>1763.41</v>
          </cell>
          <cell r="H266">
            <v>17.03</v>
          </cell>
        </row>
        <row r="267">
          <cell r="D267">
            <v>1763.43</v>
          </cell>
          <cell r="H267">
            <v>17.010000000000002</v>
          </cell>
        </row>
        <row r="268">
          <cell r="D268">
            <v>1763.43</v>
          </cell>
          <cell r="H268">
            <v>22.51</v>
          </cell>
        </row>
        <row r="269">
          <cell r="D269">
            <v>1763.44</v>
          </cell>
          <cell r="H269">
            <v>11.7</v>
          </cell>
        </row>
        <row r="270">
          <cell r="D270">
            <v>1763.45</v>
          </cell>
          <cell r="H270">
            <v>11.47</v>
          </cell>
        </row>
        <row r="271">
          <cell r="D271">
            <v>1763.46</v>
          </cell>
          <cell r="H271">
            <v>22.47</v>
          </cell>
        </row>
        <row r="272">
          <cell r="D272">
            <v>1813.4</v>
          </cell>
          <cell r="H272">
            <v>33</v>
          </cell>
        </row>
        <row r="273">
          <cell r="D273">
            <v>1813.4</v>
          </cell>
          <cell r="H273">
            <v>32.92</v>
          </cell>
        </row>
        <row r="274">
          <cell r="D274">
            <v>1813.41</v>
          </cell>
          <cell r="H274">
            <v>13.63</v>
          </cell>
        </row>
        <row r="275">
          <cell r="D275">
            <v>1813.43</v>
          </cell>
          <cell r="H275">
            <v>13.83</v>
          </cell>
        </row>
        <row r="276">
          <cell r="D276">
            <v>1813.43</v>
          </cell>
          <cell r="H276">
            <v>19.100000000000001</v>
          </cell>
        </row>
        <row r="277">
          <cell r="D277">
            <v>1813.44</v>
          </cell>
          <cell r="H277">
            <v>8.41</v>
          </cell>
        </row>
        <row r="278">
          <cell r="D278">
            <v>1813.45</v>
          </cell>
          <cell r="H278">
            <v>8.25</v>
          </cell>
        </row>
        <row r="279">
          <cell r="D279">
            <v>1813.46</v>
          </cell>
          <cell r="H279">
            <v>19.29</v>
          </cell>
        </row>
        <row r="280">
          <cell r="D280">
            <v>1863.4</v>
          </cell>
          <cell r="H280">
            <v>31.12</v>
          </cell>
        </row>
        <row r="281">
          <cell r="D281">
            <v>1863.4</v>
          </cell>
          <cell r="H281">
            <v>31.3</v>
          </cell>
        </row>
        <row r="282">
          <cell r="D282">
            <v>1863.41</v>
          </cell>
          <cell r="H282">
            <v>12.28</v>
          </cell>
        </row>
        <row r="283">
          <cell r="D283">
            <v>1863.43</v>
          </cell>
          <cell r="H283">
            <v>11.97</v>
          </cell>
        </row>
        <row r="284">
          <cell r="D284">
            <v>1863.43</v>
          </cell>
          <cell r="H284">
            <v>17.760000000000002</v>
          </cell>
        </row>
        <row r="285">
          <cell r="D285">
            <v>1863.44</v>
          </cell>
          <cell r="H285">
            <v>7.09</v>
          </cell>
        </row>
        <row r="286">
          <cell r="D286">
            <v>1863.45</v>
          </cell>
          <cell r="H286">
            <v>6.43</v>
          </cell>
        </row>
        <row r="287">
          <cell r="D287">
            <v>1863.46</v>
          </cell>
          <cell r="H287">
            <v>17.41</v>
          </cell>
        </row>
        <row r="288">
          <cell r="D288">
            <v>1913.4</v>
          </cell>
          <cell r="H288">
            <v>32.5</v>
          </cell>
        </row>
        <row r="289">
          <cell r="D289">
            <v>1913.4</v>
          </cell>
          <cell r="H289">
            <v>32.729999999999997</v>
          </cell>
        </row>
        <row r="290">
          <cell r="D290">
            <v>1913.41</v>
          </cell>
          <cell r="H290">
            <v>14.02</v>
          </cell>
        </row>
        <row r="291">
          <cell r="D291">
            <v>1913.43</v>
          </cell>
          <cell r="H291">
            <v>13.45</v>
          </cell>
        </row>
        <row r="292">
          <cell r="D292">
            <v>1913.43</v>
          </cell>
          <cell r="H292">
            <v>19.48</v>
          </cell>
        </row>
        <row r="293">
          <cell r="D293">
            <v>1913.44</v>
          </cell>
          <cell r="H293">
            <v>8.7899999999999991</v>
          </cell>
        </row>
        <row r="294">
          <cell r="D294">
            <v>1913.45</v>
          </cell>
          <cell r="H294">
            <v>7.9</v>
          </cell>
        </row>
        <row r="295">
          <cell r="D295">
            <v>1913.46</v>
          </cell>
          <cell r="H295">
            <v>18.91</v>
          </cell>
        </row>
        <row r="296">
          <cell r="D296">
            <v>1963.4</v>
          </cell>
          <cell r="H296">
            <v>36.130000000000003</v>
          </cell>
        </row>
        <row r="297">
          <cell r="D297">
            <v>1963.4</v>
          </cell>
          <cell r="H297">
            <v>37.07</v>
          </cell>
        </row>
        <row r="298">
          <cell r="D298">
            <v>1963.41</v>
          </cell>
          <cell r="H298">
            <v>18.579999999999998</v>
          </cell>
        </row>
        <row r="299">
          <cell r="D299">
            <v>1963.43</v>
          </cell>
          <cell r="H299">
            <v>24.04</v>
          </cell>
        </row>
        <row r="300">
          <cell r="D300">
            <v>1963.43</v>
          </cell>
          <cell r="H300">
            <v>16.989999999999998</v>
          </cell>
        </row>
        <row r="301">
          <cell r="D301">
            <v>1963.44</v>
          </cell>
          <cell r="H301">
            <v>13.18</v>
          </cell>
        </row>
        <row r="302">
          <cell r="D302">
            <v>1963.45</v>
          </cell>
          <cell r="H302">
            <v>11.4</v>
          </cell>
        </row>
        <row r="303">
          <cell r="D303">
            <v>1963.46</v>
          </cell>
          <cell r="H303">
            <v>22.5</v>
          </cell>
        </row>
        <row r="304">
          <cell r="D304">
            <v>1976.37</v>
          </cell>
          <cell r="H304">
            <v>37.619999999999997</v>
          </cell>
        </row>
        <row r="305">
          <cell r="D305">
            <v>1977.35</v>
          </cell>
          <cell r="H305">
            <v>38.299999999999997</v>
          </cell>
        </row>
        <row r="306">
          <cell r="D306">
            <v>1978.28</v>
          </cell>
          <cell r="H306">
            <v>24.09</v>
          </cell>
        </row>
        <row r="307">
          <cell r="D307">
            <v>1978.36</v>
          </cell>
          <cell r="H307">
            <v>18.649999999999999</v>
          </cell>
        </row>
        <row r="308">
          <cell r="D308">
            <v>1978.41</v>
          </cell>
          <cell r="H308">
            <v>13.13</v>
          </cell>
        </row>
        <row r="309">
          <cell r="D309">
            <v>1981</v>
          </cell>
          <cell r="H309">
            <v>24.95</v>
          </cell>
        </row>
        <row r="310">
          <cell r="D310">
            <v>1981.21</v>
          </cell>
          <cell r="H310">
            <v>19.5</v>
          </cell>
        </row>
        <row r="311">
          <cell r="D311">
            <v>1981.58</v>
          </cell>
          <cell r="H311">
            <v>14.03</v>
          </cell>
        </row>
        <row r="312">
          <cell r="D312">
            <v>2026.37</v>
          </cell>
          <cell r="H312">
            <v>32.700000000000003</v>
          </cell>
        </row>
        <row r="313">
          <cell r="D313">
            <v>2027.35</v>
          </cell>
          <cell r="H313">
            <v>32.65</v>
          </cell>
        </row>
        <row r="314">
          <cell r="D314">
            <v>2028.28</v>
          </cell>
          <cell r="H314">
            <v>18.86</v>
          </cell>
        </row>
        <row r="315">
          <cell r="D315">
            <v>2028.36</v>
          </cell>
          <cell r="H315">
            <v>13.7</v>
          </cell>
        </row>
        <row r="316">
          <cell r="D316">
            <v>2028.41</v>
          </cell>
          <cell r="H316">
            <v>8.2100000000000009</v>
          </cell>
        </row>
        <row r="317">
          <cell r="D317">
            <v>2031</v>
          </cell>
          <cell r="H317">
            <v>19.02</v>
          </cell>
        </row>
        <row r="318">
          <cell r="D318">
            <v>2031.21</v>
          </cell>
          <cell r="H318">
            <v>13.57</v>
          </cell>
        </row>
        <row r="319">
          <cell r="D319">
            <v>2031.58</v>
          </cell>
          <cell r="H319">
            <v>8.16</v>
          </cell>
        </row>
        <row r="320">
          <cell r="D320">
            <v>2076.37</v>
          </cell>
          <cell r="H320">
            <v>42.41</v>
          </cell>
        </row>
        <row r="321">
          <cell r="D321">
            <v>2077.35</v>
          </cell>
          <cell r="H321">
            <v>42.84</v>
          </cell>
        </row>
        <row r="322">
          <cell r="D322">
            <v>2078.2800000000002</v>
          </cell>
          <cell r="H322">
            <v>28.44</v>
          </cell>
        </row>
        <row r="323">
          <cell r="D323">
            <v>2078.36</v>
          </cell>
          <cell r="H323">
            <v>23.48</v>
          </cell>
        </row>
        <row r="324">
          <cell r="D324">
            <v>2078.41</v>
          </cell>
          <cell r="H324">
            <v>17.87</v>
          </cell>
        </row>
        <row r="325">
          <cell r="D325">
            <v>2081</v>
          </cell>
          <cell r="H325">
            <v>29.25</v>
          </cell>
        </row>
        <row r="326">
          <cell r="D326">
            <v>2081.21</v>
          </cell>
          <cell r="H326">
            <v>23.91</v>
          </cell>
        </row>
        <row r="327">
          <cell r="D327">
            <v>2081.58</v>
          </cell>
          <cell r="H327">
            <v>18.72</v>
          </cell>
        </row>
        <row r="328">
          <cell r="D328">
            <v>2126.37</v>
          </cell>
          <cell r="H328">
            <v>45.08</v>
          </cell>
        </row>
        <row r="329">
          <cell r="D329">
            <v>2127.35</v>
          </cell>
          <cell r="H329">
            <v>45.45</v>
          </cell>
        </row>
        <row r="330">
          <cell r="D330">
            <v>2128.2800000000002</v>
          </cell>
          <cell r="H330">
            <v>31.49</v>
          </cell>
        </row>
        <row r="331">
          <cell r="D331">
            <v>2128.36</v>
          </cell>
          <cell r="H331">
            <v>26.73</v>
          </cell>
        </row>
        <row r="332">
          <cell r="D332">
            <v>2128.41</v>
          </cell>
          <cell r="H332">
            <v>21.3</v>
          </cell>
        </row>
        <row r="333">
          <cell r="D333">
            <v>2131</v>
          </cell>
          <cell r="H333">
            <v>31.97</v>
          </cell>
        </row>
        <row r="334">
          <cell r="D334">
            <v>2131.21</v>
          </cell>
          <cell r="H334">
            <v>26.66</v>
          </cell>
        </row>
        <row r="335">
          <cell r="D335">
            <v>2131.58</v>
          </cell>
          <cell r="H335">
            <v>21.58</v>
          </cell>
        </row>
        <row r="336">
          <cell r="D336">
            <v>2176.37</v>
          </cell>
          <cell r="H336">
            <v>38.49</v>
          </cell>
        </row>
        <row r="337">
          <cell r="D337">
            <v>2177.35</v>
          </cell>
          <cell r="H337">
            <v>39.299999999999997</v>
          </cell>
        </row>
        <row r="338">
          <cell r="D338">
            <v>2178.2800000000002</v>
          </cell>
          <cell r="H338">
            <v>22.73</v>
          </cell>
        </row>
        <row r="339">
          <cell r="D339">
            <v>2178.36</v>
          </cell>
          <cell r="H339">
            <v>17.91</v>
          </cell>
        </row>
        <row r="340">
          <cell r="D340">
            <v>2178.41</v>
          </cell>
          <cell r="H340">
            <v>12.21</v>
          </cell>
        </row>
        <row r="341">
          <cell r="D341">
            <v>2181</v>
          </cell>
          <cell r="H341">
            <v>24.68</v>
          </cell>
        </row>
        <row r="342">
          <cell r="D342">
            <v>2181.21</v>
          </cell>
          <cell r="H342">
            <v>19.32</v>
          </cell>
        </row>
        <row r="343">
          <cell r="D343">
            <v>2181.58</v>
          </cell>
          <cell r="H343">
            <v>14.2</v>
          </cell>
        </row>
        <row r="344">
          <cell r="D344">
            <v>2226.37</v>
          </cell>
          <cell r="H344">
            <v>39.5</v>
          </cell>
        </row>
        <row r="345">
          <cell r="D345">
            <v>2227.35</v>
          </cell>
          <cell r="H345">
            <v>39.86</v>
          </cell>
        </row>
        <row r="346">
          <cell r="D346">
            <v>2228.2800000000002</v>
          </cell>
          <cell r="H346">
            <v>25.46</v>
          </cell>
        </row>
        <row r="347">
          <cell r="D347">
            <v>2228.36</v>
          </cell>
          <cell r="H347">
            <v>20.69</v>
          </cell>
        </row>
        <row r="348">
          <cell r="D348">
            <v>2228.41</v>
          </cell>
          <cell r="H348">
            <v>15.17</v>
          </cell>
        </row>
        <row r="349">
          <cell r="D349">
            <v>2231</v>
          </cell>
          <cell r="H349">
            <v>26.38</v>
          </cell>
        </row>
        <row r="350">
          <cell r="D350">
            <v>2231.21</v>
          </cell>
          <cell r="H350">
            <v>21.07</v>
          </cell>
        </row>
        <row r="351">
          <cell r="D351">
            <v>2231.58</v>
          </cell>
          <cell r="H351">
            <v>15.96</v>
          </cell>
        </row>
        <row r="352">
          <cell r="D352">
            <v>2276.37</v>
          </cell>
          <cell r="H352">
            <v>46.25</v>
          </cell>
        </row>
        <row r="353">
          <cell r="D353">
            <v>2277.35</v>
          </cell>
          <cell r="H353">
            <v>46.36</v>
          </cell>
        </row>
        <row r="354">
          <cell r="D354">
            <v>2278.2800000000002</v>
          </cell>
          <cell r="H354">
            <v>33.14</v>
          </cell>
        </row>
        <row r="355">
          <cell r="D355">
            <v>2278.36</v>
          </cell>
          <cell r="H355">
            <v>28.29</v>
          </cell>
        </row>
        <row r="356">
          <cell r="D356">
            <v>2278.41</v>
          </cell>
          <cell r="H356">
            <v>22.83</v>
          </cell>
        </row>
        <row r="357">
          <cell r="D357">
            <v>2281</v>
          </cell>
          <cell r="H357">
            <v>33.090000000000003</v>
          </cell>
        </row>
        <row r="358">
          <cell r="D358">
            <v>2281.21</v>
          </cell>
          <cell r="H358">
            <v>27.82</v>
          </cell>
        </row>
        <row r="359">
          <cell r="D359">
            <v>2281.58</v>
          </cell>
          <cell r="H359">
            <v>22.71</v>
          </cell>
        </row>
        <row r="360">
          <cell r="D360">
            <v>2326.37</v>
          </cell>
          <cell r="H360">
            <v>45.16</v>
          </cell>
        </row>
        <row r="361">
          <cell r="D361">
            <v>2327.35</v>
          </cell>
          <cell r="H361">
            <v>45.89</v>
          </cell>
        </row>
        <row r="362">
          <cell r="D362">
            <v>2328.2800000000002</v>
          </cell>
          <cell r="H362">
            <v>30.67</v>
          </cell>
        </row>
        <row r="363">
          <cell r="D363">
            <v>2328.36</v>
          </cell>
          <cell r="H363">
            <v>25.6</v>
          </cell>
        </row>
        <row r="364">
          <cell r="D364">
            <v>2328.41</v>
          </cell>
          <cell r="H364">
            <v>20.03</v>
          </cell>
        </row>
        <row r="365">
          <cell r="D365">
            <v>2331</v>
          </cell>
          <cell r="H365">
            <v>33.119999999999997</v>
          </cell>
        </row>
        <row r="366">
          <cell r="D366">
            <v>2331.21</v>
          </cell>
          <cell r="H366">
            <v>27.77</v>
          </cell>
        </row>
        <row r="367">
          <cell r="D367">
            <v>2331.58</v>
          </cell>
          <cell r="H367">
            <v>22.59</v>
          </cell>
        </row>
        <row r="368">
          <cell r="D368">
            <v>2376.37</v>
          </cell>
          <cell r="H368">
            <v>50.25</v>
          </cell>
        </row>
        <row r="369">
          <cell r="D369">
            <v>2377.35</v>
          </cell>
          <cell r="H369">
            <v>50.33</v>
          </cell>
        </row>
        <row r="370">
          <cell r="D370">
            <v>2378.2800000000002</v>
          </cell>
          <cell r="H370">
            <v>35.74</v>
          </cell>
        </row>
        <row r="371">
          <cell r="D371">
            <v>2378.36</v>
          </cell>
          <cell r="H371">
            <v>30.39</v>
          </cell>
        </row>
        <row r="372">
          <cell r="D372">
            <v>2378.41</v>
          </cell>
          <cell r="H372">
            <v>24.89</v>
          </cell>
        </row>
        <row r="373">
          <cell r="D373">
            <v>2381</v>
          </cell>
          <cell r="H373">
            <v>35.93</v>
          </cell>
        </row>
        <row r="374">
          <cell r="D374">
            <v>2381.21</v>
          </cell>
          <cell r="H374">
            <v>30.42</v>
          </cell>
        </row>
        <row r="375">
          <cell r="D375">
            <v>2381.58</v>
          </cell>
          <cell r="H375">
            <v>24.9</v>
          </cell>
        </row>
        <row r="376">
          <cell r="D376">
            <v>2399.6999999999998</v>
          </cell>
          <cell r="H376">
            <v>47.34</v>
          </cell>
        </row>
        <row r="377">
          <cell r="D377">
            <v>2399.6999999999998</v>
          </cell>
          <cell r="H377">
            <v>46.98</v>
          </cell>
        </row>
        <row r="378">
          <cell r="D378">
            <v>2399.77</v>
          </cell>
          <cell r="H378">
            <v>21.98</v>
          </cell>
        </row>
        <row r="379">
          <cell r="D379">
            <v>2399.92</v>
          </cell>
          <cell r="H379">
            <v>28.71</v>
          </cell>
        </row>
        <row r="380">
          <cell r="D380">
            <v>2399.92</v>
          </cell>
          <cell r="H380">
            <v>34.19</v>
          </cell>
        </row>
        <row r="381">
          <cell r="D381">
            <v>2399.92</v>
          </cell>
          <cell r="H381">
            <v>27.53</v>
          </cell>
        </row>
        <row r="382">
          <cell r="D382">
            <v>2399.9499999999998</v>
          </cell>
          <cell r="H382">
            <v>23.2</v>
          </cell>
        </row>
        <row r="383">
          <cell r="D383">
            <v>2399.9499999999998</v>
          </cell>
          <cell r="H383">
            <v>33.01</v>
          </cell>
        </row>
        <row r="384">
          <cell r="D384">
            <v>2449.6999999999998</v>
          </cell>
          <cell r="H384">
            <v>39.25</v>
          </cell>
        </row>
        <row r="385">
          <cell r="D385">
            <v>2449.6999999999998</v>
          </cell>
          <cell r="H385">
            <v>39.67</v>
          </cell>
        </row>
        <row r="386">
          <cell r="D386">
            <v>2449.77</v>
          </cell>
          <cell r="H386">
            <v>14.48</v>
          </cell>
        </row>
        <row r="387">
          <cell r="D387">
            <v>2449.92</v>
          </cell>
          <cell r="H387">
            <v>20.5</v>
          </cell>
        </row>
        <row r="388">
          <cell r="D388">
            <v>2449.92</v>
          </cell>
          <cell r="H388">
            <v>25.94</v>
          </cell>
        </row>
        <row r="389">
          <cell r="D389">
            <v>2449.92</v>
          </cell>
          <cell r="H389">
            <v>20.04</v>
          </cell>
        </row>
        <row r="390">
          <cell r="D390">
            <v>2449.9499999999998</v>
          </cell>
          <cell r="H390">
            <v>15.1</v>
          </cell>
        </row>
        <row r="391">
          <cell r="D391">
            <v>2449.9499999999998</v>
          </cell>
          <cell r="H391">
            <v>25.29</v>
          </cell>
        </row>
        <row r="392">
          <cell r="D392">
            <v>2499.6999999999998</v>
          </cell>
          <cell r="H392">
            <v>37.47</v>
          </cell>
        </row>
        <row r="393">
          <cell r="D393">
            <v>2499.6999999999998</v>
          </cell>
          <cell r="H393">
            <v>37.72</v>
          </cell>
        </row>
        <row r="394">
          <cell r="D394">
            <v>2499.77</v>
          </cell>
          <cell r="H394">
            <v>12.58</v>
          </cell>
        </row>
        <row r="395">
          <cell r="D395">
            <v>2499.92</v>
          </cell>
          <cell r="H395">
            <v>18.149999999999999</v>
          </cell>
        </row>
        <row r="396">
          <cell r="D396">
            <v>2499.92</v>
          </cell>
          <cell r="H396">
            <v>23.55</v>
          </cell>
        </row>
        <row r="397">
          <cell r="D397">
            <v>2499.92</v>
          </cell>
          <cell r="H397">
            <v>18.25</v>
          </cell>
        </row>
        <row r="398">
          <cell r="D398">
            <v>2499.9499999999998</v>
          </cell>
          <cell r="H398">
            <v>12.89</v>
          </cell>
        </row>
        <row r="399">
          <cell r="D399">
            <v>2499.9499999999998</v>
          </cell>
          <cell r="H399">
            <v>23.35</v>
          </cell>
        </row>
        <row r="400">
          <cell r="D400">
            <v>2549.6999999999998</v>
          </cell>
          <cell r="H400">
            <v>37.75</v>
          </cell>
        </row>
        <row r="401">
          <cell r="D401">
            <v>2549.6999999999998</v>
          </cell>
          <cell r="H401">
            <v>38.47</v>
          </cell>
        </row>
        <row r="402">
          <cell r="D402">
            <v>2549.77</v>
          </cell>
          <cell r="H402">
            <v>12.47</v>
          </cell>
        </row>
        <row r="403">
          <cell r="D403">
            <v>2549.92</v>
          </cell>
          <cell r="H403">
            <v>19.41</v>
          </cell>
        </row>
        <row r="404">
          <cell r="D404">
            <v>2549.92</v>
          </cell>
          <cell r="H404">
            <v>24.79</v>
          </cell>
        </row>
        <row r="405">
          <cell r="D405">
            <v>2549.92</v>
          </cell>
          <cell r="H405">
            <v>18.16</v>
          </cell>
        </row>
        <row r="406">
          <cell r="D406">
            <v>2549.9499999999998</v>
          </cell>
          <cell r="H406">
            <v>14.23</v>
          </cell>
        </row>
        <row r="407">
          <cell r="D407">
            <v>2549.9499999999998</v>
          </cell>
          <cell r="H407">
            <v>23.17</v>
          </cell>
        </row>
        <row r="408">
          <cell r="D408">
            <v>2599.6999999999998</v>
          </cell>
          <cell r="H408">
            <v>33.380000000000003</v>
          </cell>
        </row>
        <row r="409">
          <cell r="D409">
            <v>2599.6999999999998</v>
          </cell>
          <cell r="H409">
            <v>34.25</v>
          </cell>
        </row>
        <row r="410">
          <cell r="D410">
            <v>2599.77</v>
          </cell>
          <cell r="H410">
            <v>7.95</v>
          </cell>
        </row>
        <row r="411">
          <cell r="D411">
            <v>2599.92</v>
          </cell>
          <cell r="H411">
            <v>15.14</v>
          </cell>
        </row>
        <row r="412">
          <cell r="D412">
            <v>2599.92</v>
          </cell>
          <cell r="H412">
            <v>20.52</v>
          </cell>
        </row>
        <row r="413">
          <cell r="D413">
            <v>2599.92</v>
          </cell>
          <cell r="H413">
            <v>13.71</v>
          </cell>
        </row>
        <row r="414">
          <cell r="D414">
            <v>2599.9499999999998</v>
          </cell>
          <cell r="H414">
            <v>9.94</v>
          </cell>
        </row>
        <row r="415">
          <cell r="D415">
            <v>2599.9499999999998</v>
          </cell>
          <cell r="H415">
            <v>18.72</v>
          </cell>
        </row>
        <row r="416">
          <cell r="D416">
            <v>2649.7</v>
          </cell>
          <cell r="H416">
            <v>37.049999999999997</v>
          </cell>
        </row>
        <row r="417">
          <cell r="D417">
            <v>2649.7</v>
          </cell>
          <cell r="H417">
            <v>38.03</v>
          </cell>
        </row>
        <row r="418">
          <cell r="D418">
            <v>2649.77</v>
          </cell>
          <cell r="H418">
            <v>11.52</v>
          </cell>
        </row>
        <row r="419">
          <cell r="D419">
            <v>2649.92</v>
          </cell>
          <cell r="H419">
            <v>18.77</v>
          </cell>
        </row>
        <row r="420">
          <cell r="D420">
            <v>2649.92</v>
          </cell>
          <cell r="H420">
            <v>24.17</v>
          </cell>
        </row>
        <row r="421">
          <cell r="D421">
            <v>2649.92</v>
          </cell>
          <cell r="H421">
            <v>17.27</v>
          </cell>
        </row>
        <row r="422">
          <cell r="D422">
            <v>2649.95</v>
          </cell>
          <cell r="H422">
            <v>13.51</v>
          </cell>
        </row>
        <row r="423">
          <cell r="D423">
            <v>2649.95</v>
          </cell>
          <cell r="H423">
            <v>22.35</v>
          </cell>
        </row>
        <row r="424">
          <cell r="D424">
            <v>2699.7</v>
          </cell>
          <cell r="H424">
            <v>44.39</v>
          </cell>
        </row>
        <row r="425">
          <cell r="D425">
            <v>2699.7</v>
          </cell>
          <cell r="H425">
            <v>44.67</v>
          </cell>
        </row>
        <row r="426">
          <cell r="D426">
            <v>2699.77</v>
          </cell>
          <cell r="H426">
            <v>19.46</v>
          </cell>
        </row>
        <row r="427">
          <cell r="D427">
            <v>2699.92</v>
          </cell>
          <cell r="H427">
            <v>25.51</v>
          </cell>
        </row>
        <row r="428">
          <cell r="D428">
            <v>2699.92</v>
          </cell>
          <cell r="H428">
            <v>30.94</v>
          </cell>
        </row>
        <row r="429">
          <cell r="D429">
            <v>2699.92</v>
          </cell>
          <cell r="H429">
            <v>25.11</v>
          </cell>
        </row>
        <row r="430">
          <cell r="D430">
            <v>2699.95</v>
          </cell>
          <cell r="H430">
            <v>20.2</v>
          </cell>
        </row>
        <row r="431">
          <cell r="D431">
            <v>2699.95</v>
          </cell>
          <cell r="H431">
            <v>30.31</v>
          </cell>
        </row>
        <row r="432">
          <cell r="D432">
            <v>2749.7</v>
          </cell>
          <cell r="H432">
            <v>46.35</v>
          </cell>
        </row>
        <row r="433">
          <cell r="D433">
            <v>2749.7</v>
          </cell>
          <cell r="H433">
            <v>47.07</v>
          </cell>
        </row>
        <row r="434">
          <cell r="D434">
            <v>2749.77</v>
          </cell>
          <cell r="H434">
            <v>21.18</v>
          </cell>
        </row>
        <row r="435">
          <cell r="D435">
            <v>2749.92</v>
          </cell>
          <cell r="H435">
            <v>28.56</v>
          </cell>
        </row>
        <row r="436">
          <cell r="D436">
            <v>2749.92</v>
          </cell>
          <cell r="H436">
            <v>34.03</v>
          </cell>
        </row>
        <row r="437">
          <cell r="D437">
            <v>2749.92</v>
          </cell>
          <cell r="H437">
            <v>26.73</v>
          </cell>
        </row>
        <row r="438">
          <cell r="D438">
            <v>2749.95</v>
          </cell>
          <cell r="H438">
            <v>23.19</v>
          </cell>
        </row>
        <row r="439">
          <cell r="D439">
            <v>2749.95</v>
          </cell>
          <cell r="H439">
            <v>32.14</v>
          </cell>
        </row>
        <row r="440">
          <cell r="D440">
            <v>2764.97</v>
          </cell>
          <cell r="H440">
            <v>22.16</v>
          </cell>
        </row>
        <row r="441">
          <cell r="D441">
            <v>2765.01</v>
          </cell>
          <cell r="H441">
            <v>35.19</v>
          </cell>
        </row>
        <row r="442">
          <cell r="D442">
            <v>2765.05</v>
          </cell>
          <cell r="H442">
            <v>27.71</v>
          </cell>
        </row>
        <row r="443">
          <cell r="D443">
            <v>2765.05</v>
          </cell>
          <cell r="H443">
            <v>47.39</v>
          </cell>
        </row>
        <row r="444">
          <cell r="D444">
            <v>2765.05</v>
          </cell>
          <cell r="H444">
            <v>33.19</v>
          </cell>
        </row>
        <row r="445">
          <cell r="D445">
            <v>2765.07</v>
          </cell>
          <cell r="H445">
            <v>47.92</v>
          </cell>
        </row>
        <row r="446">
          <cell r="D446">
            <v>2765.1</v>
          </cell>
          <cell r="H446">
            <v>29.72</v>
          </cell>
        </row>
        <row r="447">
          <cell r="D447">
            <v>2765.11</v>
          </cell>
          <cell r="H447">
            <v>24.29</v>
          </cell>
        </row>
        <row r="448">
          <cell r="D448">
            <v>2814.97</v>
          </cell>
          <cell r="H448">
            <v>18.239999999999998</v>
          </cell>
        </row>
        <row r="449">
          <cell r="D449">
            <v>2815.01</v>
          </cell>
          <cell r="H449">
            <v>30.87</v>
          </cell>
        </row>
        <row r="450">
          <cell r="D450">
            <v>2815.05</v>
          </cell>
          <cell r="H450">
            <v>23.97</v>
          </cell>
        </row>
        <row r="451">
          <cell r="D451">
            <v>2815.05</v>
          </cell>
          <cell r="H451">
            <v>43.64</v>
          </cell>
        </row>
        <row r="452">
          <cell r="D452">
            <v>2815.05</v>
          </cell>
          <cell r="H452">
            <v>29.17</v>
          </cell>
        </row>
        <row r="453">
          <cell r="D453">
            <v>2815.07</v>
          </cell>
          <cell r="H453">
            <v>44.45</v>
          </cell>
        </row>
        <row r="454">
          <cell r="D454">
            <v>2815.1</v>
          </cell>
          <cell r="H454">
            <v>25.51</v>
          </cell>
        </row>
        <row r="455">
          <cell r="D455">
            <v>2815.11</v>
          </cell>
          <cell r="H455">
            <v>20.21</v>
          </cell>
        </row>
        <row r="456">
          <cell r="D456">
            <v>2864.97</v>
          </cell>
          <cell r="H456">
            <v>13.62</v>
          </cell>
        </row>
        <row r="457">
          <cell r="D457">
            <v>2865.01</v>
          </cell>
          <cell r="H457">
            <v>27.47</v>
          </cell>
        </row>
        <row r="458">
          <cell r="D458">
            <v>2865.05</v>
          </cell>
          <cell r="H458">
            <v>19.5</v>
          </cell>
        </row>
        <row r="459">
          <cell r="D459">
            <v>2865.05</v>
          </cell>
          <cell r="H459">
            <v>39.380000000000003</v>
          </cell>
        </row>
        <row r="460">
          <cell r="D460">
            <v>2865.05</v>
          </cell>
          <cell r="H460">
            <v>24.49</v>
          </cell>
        </row>
        <row r="461">
          <cell r="D461">
            <v>2865.07</v>
          </cell>
          <cell r="H461">
            <v>40.700000000000003</v>
          </cell>
        </row>
        <row r="462">
          <cell r="D462">
            <v>2865.1</v>
          </cell>
          <cell r="H462">
            <v>22.2</v>
          </cell>
        </row>
        <row r="463">
          <cell r="D463">
            <v>2865.11</v>
          </cell>
          <cell r="H463">
            <v>17.09</v>
          </cell>
        </row>
        <row r="464">
          <cell r="D464">
            <v>2914.97</v>
          </cell>
          <cell r="H464">
            <v>11.66</v>
          </cell>
        </row>
        <row r="465">
          <cell r="D465">
            <v>2915.01</v>
          </cell>
          <cell r="H465">
            <v>24.96</v>
          </cell>
        </row>
        <row r="466">
          <cell r="D466">
            <v>2915.05</v>
          </cell>
          <cell r="H466">
            <v>17.61</v>
          </cell>
        </row>
        <row r="467">
          <cell r="D467">
            <v>2915.05</v>
          </cell>
          <cell r="H467">
            <v>36.96</v>
          </cell>
        </row>
        <row r="468">
          <cell r="D468">
            <v>2915.05</v>
          </cell>
          <cell r="H468">
            <v>22.46</v>
          </cell>
        </row>
        <row r="469">
          <cell r="D469">
            <v>2915.07</v>
          </cell>
          <cell r="H469">
            <v>38.49</v>
          </cell>
        </row>
        <row r="470">
          <cell r="D470">
            <v>2915.1</v>
          </cell>
          <cell r="H470">
            <v>19.760000000000002</v>
          </cell>
        </row>
        <row r="471">
          <cell r="D471">
            <v>2915.11</v>
          </cell>
          <cell r="H471">
            <v>14.79</v>
          </cell>
        </row>
        <row r="472">
          <cell r="D472">
            <v>2964.97</v>
          </cell>
          <cell r="H472">
            <v>10.66</v>
          </cell>
        </row>
        <row r="473">
          <cell r="D473">
            <v>2965.01</v>
          </cell>
          <cell r="H473">
            <v>23.49</v>
          </cell>
        </row>
        <row r="474">
          <cell r="D474">
            <v>2965.05</v>
          </cell>
          <cell r="H474">
            <v>16.600000000000001</v>
          </cell>
        </row>
        <row r="475">
          <cell r="D475">
            <v>2965.05</v>
          </cell>
          <cell r="H475">
            <v>36.07</v>
          </cell>
        </row>
        <row r="476">
          <cell r="D476">
            <v>2965.05</v>
          </cell>
          <cell r="H476">
            <v>21.38</v>
          </cell>
        </row>
        <row r="477">
          <cell r="D477">
            <v>2965.07</v>
          </cell>
          <cell r="H477">
            <v>37.479999999999997</v>
          </cell>
        </row>
        <row r="478">
          <cell r="D478">
            <v>2965.1</v>
          </cell>
          <cell r="H478">
            <v>18.29</v>
          </cell>
        </row>
        <row r="479">
          <cell r="D479">
            <v>2965.11</v>
          </cell>
          <cell r="H479">
            <v>13.24</v>
          </cell>
        </row>
        <row r="480">
          <cell r="D480">
            <v>3014.97</v>
          </cell>
          <cell r="H480">
            <v>13.36</v>
          </cell>
        </row>
        <row r="481">
          <cell r="D481">
            <v>3015.01</v>
          </cell>
          <cell r="H481">
            <v>24.29</v>
          </cell>
        </row>
        <row r="482">
          <cell r="D482">
            <v>3015.05</v>
          </cell>
          <cell r="H482">
            <v>19.22</v>
          </cell>
        </row>
        <row r="483">
          <cell r="D483">
            <v>3015.05</v>
          </cell>
          <cell r="H483">
            <v>38.42</v>
          </cell>
        </row>
        <row r="484">
          <cell r="D484">
            <v>3015.05</v>
          </cell>
          <cell r="H484">
            <v>24</v>
          </cell>
        </row>
        <row r="485">
          <cell r="D485">
            <v>3015.07</v>
          </cell>
          <cell r="H485">
            <v>38.799999999999997</v>
          </cell>
        </row>
        <row r="486">
          <cell r="D486">
            <v>3015.1</v>
          </cell>
          <cell r="H486">
            <v>19.100000000000001</v>
          </cell>
        </row>
        <row r="487">
          <cell r="D487">
            <v>3015.11</v>
          </cell>
          <cell r="H487">
            <v>14</v>
          </cell>
        </row>
        <row r="488">
          <cell r="D488">
            <v>3064.97</v>
          </cell>
          <cell r="H488">
            <v>12.48</v>
          </cell>
        </row>
        <row r="489">
          <cell r="D489">
            <v>3065.01</v>
          </cell>
          <cell r="H489">
            <v>22.07</v>
          </cell>
        </row>
        <row r="490">
          <cell r="D490">
            <v>3065.05</v>
          </cell>
          <cell r="H490">
            <v>18.25</v>
          </cell>
        </row>
        <row r="491">
          <cell r="D491">
            <v>3065.05</v>
          </cell>
          <cell r="H491">
            <v>36.619999999999997</v>
          </cell>
        </row>
        <row r="492">
          <cell r="D492">
            <v>3065.05</v>
          </cell>
          <cell r="H492">
            <v>23.1</v>
          </cell>
        </row>
        <row r="493">
          <cell r="D493">
            <v>3065.07</v>
          </cell>
          <cell r="H493">
            <v>36.75</v>
          </cell>
        </row>
        <row r="494">
          <cell r="D494">
            <v>3065.1</v>
          </cell>
          <cell r="H494">
            <v>16.850000000000001</v>
          </cell>
        </row>
        <row r="495">
          <cell r="D495">
            <v>3065.11</v>
          </cell>
          <cell r="H495">
            <v>11.66</v>
          </cell>
        </row>
        <row r="496">
          <cell r="D496">
            <v>3114.97</v>
          </cell>
          <cell r="H496">
            <v>13.46</v>
          </cell>
        </row>
        <row r="497">
          <cell r="D497">
            <v>3115.01</v>
          </cell>
          <cell r="H497">
            <v>23.29</v>
          </cell>
        </row>
        <row r="498">
          <cell r="D498">
            <v>3115.05</v>
          </cell>
          <cell r="H498">
            <v>19.170000000000002</v>
          </cell>
        </row>
        <row r="499">
          <cell r="D499">
            <v>3115.05</v>
          </cell>
          <cell r="H499">
            <v>37.64</v>
          </cell>
        </row>
        <row r="500">
          <cell r="D500">
            <v>3115.05</v>
          </cell>
          <cell r="H500">
            <v>24.18</v>
          </cell>
        </row>
        <row r="501">
          <cell r="D501">
            <v>3115.07</v>
          </cell>
          <cell r="H501">
            <v>37.74</v>
          </cell>
        </row>
        <row r="502">
          <cell r="D502">
            <v>3115.1</v>
          </cell>
          <cell r="H502">
            <v>18.010000000000002</v>
          </cell>
        </row>
        <row r="503">
          <cell r="D503">
            <v>3115.11</v>
          </cell>
          <cell r="H503">
            <v>12.75</v>
          </cell>
        </row>
        <row r="504">
          <cell r="D504">
            <v>3164.97</v>
          </cell>
          <cell r="H504">
            <v>14.02</v>
          </cell>
        </row>
        <row r="505">
          <cell r="D505">
            <v>3165.01</v>
          </cell>
          <cell r="H505">
            <v>24.29</v>
          </cell>
        </row>
        <row r="506">
          <cell r="D506">
            <v>3165.05</v>
          </cell>
          <cell r="H506">
            <v>19.64</v>
          </cell>
        </row>
        <row r="507">
          <cell r="D507">
            <v>3165.05</v>
          </cell>
          <cell r="H507">
            <v>38.4</v>
          </cell>
        </row>
        <row r="508">
          <cell r="D508">
            <v>3165.05</v>
          </cell>
          <cell r="H508">
            <v>24.86</v>
          </cell>
        </row>
        <row r="509">
          <cell r="D509">
            <v>3165.07</v>
          </cell>
          <cell r="H509">
            <v>38.35</v>
          </cell>
        </row>
        <row r="510">
          <cell r="D510">
            <v>3165.1</v>
          </cell>
          <cell r="H510">
            <v>18.920000000000002</v>
          </cell>
        </row>
        <row r="511">
          <cell r="D511">
            <v>3165.11</v>
          </cell>
          <cell r="H511">
            <v>13.57</v>
          </cell>
        </row>
        <row r="512">
          <cell r="D512">
            <v>3211.3</v>
          </cell>
          <cell r="H512">
            <v>27.72</v>
          </cell>
        </row>
        <row r="513">
          <cell r="D513">
            <v>3211.33</v>
          </cell>
          <cell r="H513">
            <v>15.95</v>
          </cell>
        </row>
        <row r="514">
          <cell r="D514">
            <v>3211.37</v>
          </cell>
          <cell r="H514">
            <v>40.78</v>
          </cell>
        </row>
        <row r="515">
          <cell r="D515">
            <v>3211.37</v>
          </cell>
          <cell r="H515">
            <v>41.08</v>
          </cell>
        </row>
        <row r="516">
          <cell r="D516">
            <v>3211.37</v>
          </cell>
          <cell r="H516">
            <v>16.77</v>
          </cell>
        </row>
        <row r="517">
          <cell r="D517">
            <v>3211.41</v>
          </cell>
          <cell r="H517">
            <v>21.43</v>
          </cell>
        </row>
        <row r="518">
          <cell r="D518">
            <v>3211.42</v>
          </cell>
          <cell r="H518">
            <v>22.24</v>
          </cell>
        </row>
        <row r="519">
          <cell r="D519">
            <v>3211.5</v>
          </cell>
          <cell r="H519">
            <v>26.91</v>
          </cell>
        </row>
        <row r="520">
          <cell r="D520">
            <v>3261.3</v>
          </cell>
          <cell r="H520">
            <v>22</v>
          </cell>
        </row>
        <row r="521">
          <cell r="D521">
            <v>3261.34</v>
          </cell>
          <cell r="H521">
            <v>10.6</v>
          </cell>
        </row>
        <row r="522">
          <cell r="D522">
            <v>3261.37</v>
          </cell>
          <cell r="H522">
            <v>35.659999999999997</v>
          </cell>
        </row>
        <row r="523">
          <cell r="D523">
            <v>3261.37</v>
          </cell>
          <cell r="H523">
            <v>35.479999999999997</v>
          </cell>
        </row>
        <row r="524">
          <cell r="D524">
            <v>3261.37</v>
          </cell>
          <cell r="H524">
            <v>11.2</v>
          </cell>
        </row>
        <row r="525">
          <cell r="D525">
            <v>3261.41</v>
          </cell>
          <cell r="H525">
            <v>16.02</v>
          </cell>
        </row>
        <row r="526">
          <cell r="D526">
            <v>3261.42</v>
          </cell>
          <cell r="H526">
            <v>16.8</v>
          </cell>
        </row>
        <row r="527">
          <cell r="D527">
            <v>3261.5</v>
          </cell>
          <cell r="H527">
            <v>21.46</v>
          </cell>
        </row>
        <row r="528">
          <cell r="D528">
            <v>3311.3</v>
          </cell>
          <cell r="H528">
            <v>19.86</v>
          </cell>
        </row>
        <row r="529">
          <cell r="D529">
            <v>3311.34</v>
          </cell>
          <cell r="H529">
            <v>8.76</v>
          </cell>
        </row>
        <row r="530">
          <cell r="D530">
            <v>3311.37</v>
          </cell>
          <cell r="H530">
            <v>33.83</v>
          </cell>
        </row>
        <row r="531">
          <cell r="D531">
            <v>3311.37</v>
          </cell>
          <cell r="H531">
            <v>33.67</v>
          </cell>
        </row>
        <row r="532">
          <cell r="D532">
            <v>3311.37</v>
          </cell>
          <cell r="H532">
            <v>9.1300000000000008</v>
          </cell>
        </row>
        <row r="533">
          <cell r="D533">
            <v>3311.41</v>
          </cell>
          <cell r="H533">
            <v>14.14</v>
          </cell>
        </row>
        <row r="534">
          <cell r="D534">
            <v>3311.42</v>
          </cell>
          <cell r="H534">
            <v>14.83</v>
          </cell>
        </row>
        <row r="535">
          <cell r="D535">
            <v>3311.5</v>
          </cell>
          <cell r="H535">
            <v>19.559999999999999</v>
          </cell>
        </row>
        <row r="536">
          <cell r="D536">
            <v>3361.3</v>
          </cell>
          <cell r="H536">
            <v>18.899999999999999</v>
          </cell>
        </row>
        <row r="537">
          <cell r="D537">
            <v>3361.34</v>
          </cell>
          <cell r="H537">
            <v>7.85</v>
          </cell>
        </row>
        <row r="538">
          <cell r="D538">
            <v>3361.37</v>
          </cell>
          <cell r="H538">
            <v>32.92</v>
          </cell>
        </row>
        <row r="539">
          <cell r="D539">
            <v>3361.37</v>
          </cell>
          <cell r="H539">
            <v>32.729999999999997</v>
          </cell>
        </row>
        <row r="540">
          <cell r="D540">
            <v>3361.37</v>
          </cell>
          <cell r="H540">
            <v>8.2100000000000009</v>
          </cell>
        </row>
        <row r="541">
          <cell r="D541">
            <v>3361.41</v>
          </cell>
          <cell r="H541">
            <v>13.2</v>
          </cell>
        </row>
        <row r="542">
          <cell r="D542">
            <v>3361.42</v>
          </cell>
          <cell r="H542">
            <v>13.95</v>
          </cell>
        </row>
        <row r="543">
          <cell r="D543">
            <v>3361.5</v>
          </cell>
          <cell r="H543">
            <v>18.600000000000001</v>
          </cell>
        </row>
        <row r="544">
          <cell r="D544">
            <v>3411.3</v>
          </cell>
          <cell r="H544">
            <v>19.97</v>
          </cell>
        </row>
        <row r="545">
          <cell r="D545">
            <v>3411.34</v>
          </cell>
          <cell r="H545">
            <v>8.3800000000000008</v>
          </cell>
        </row>
        <row r="546">
          <cell r="D546">
            <v>3411.37</v>
          </cell>
          <cell r="H546">
            <v>33.770000000000003</v>
          </cell>
        </row>
        <row r="547">
          <cell r="D547">
            <v>3411.37</v>
          </cell>
          <cell r="H547">
            <v>33.47</v>
          </cell>
        </row>
        <row r="548">
          <cell r="D548">
            <v>3411.37</v>
          </cell>
          <cell r="H548">
            <v>9.2899999999999991</v>
          </cell>
        </row>
        <row r="549">
          <cell r="D549">
            <v>3411.41</v>
          </cell>
          <cell r="H549">
            <v>13.74</v>
          </cell>
        </row>
        <row r="550">
          <cell r="D550">
            <v>3411.42</v>
          </cell>
          <cell r="H550">
            <v>15.01</v>
          </cell>
        </row>
        <row r="551">
          <cell r="D551">
            <v>3411.5</v>
          </cell>
          <cell r="H551">
            <v>19.13</v>
          </cell>
        </row>
        <row r="552">
          <cell r="D552">
            <v>3461.3</v>
          </cell>
          <cell r="H552">
            <v>21.37</v>
          </cell>
        </row>
        <row r="553">
          <cell r="D553">
            <v>3461.34</v>
          </cell>
          <cell r="H553">
            <v>9.94</v>
          </cell>
        </row>
        <row r="554">
          <cell r="D554">
            <v>3461.37</v>
          </cell>
          <cell r="H554">
            <v>35.14</v>
          </cell>
        </row>
        <row r="555">
          <cell r="D555">
            <v>3461.37</v>
          </cell>
          <cell r="H555">
            <v>34.86</v>
          </cell>
        </row>
        <row r="556">
          <cell r="D556">
            <v>3461.37</v>
          </cell>
          <cell r="H556">
            <v>10.6</v>
          </cell>
        </row>
        <row r="557">
          <cell r="D557">
            <v>3461.41</v>
          </cell>
          <cell r="H557">
            <v>15.33</v>
          </cell>
        </row>
        <row r="558">
          <cell r="D558">
            <v>3461.42</v>
          </cell>
          <cell r="H558">
            <v>16.29</v>
          </cell>
        </row>
        <row r="559">
          <cell r="D559">
            <v>3461.5</v>
          </cell>
          <cell r="H559">
            <v>20.74</v>
          </cell>
        </row>
        <row r="560">
          <cell r="D560">
            <v>3511.3</v>
          </cell>
          <cell r="H560">
            <v>24.22</v>
          </cell>
        </row>
        <row r="561">
          <cell r="D561">
            <v>3511.34</v>
          </cell>
          <cell r="H561">
            <v>12.71</v>
          </cell>
        </row>
        <row r="562">
          <cell r="D562">
            <v>3511.37</v>
          </cell>
          <cell r="H562">
            <v>37.85</v>
          </cell>
        </row>
        <row r="563">
          <cell r="D563">
            <v>3511.37</v>
          </cell>
          <cell r="H563">
            <v>37.51</v>
          </cell>
        </row>
        <row r="564">
          <cell r="D564">
            <v>3511.37</v>
          </cell>
          <cell r="H564">
            <v>13.4</v>
          </cell>
        </row>
        <row r="565">
          <cell r="D565">
            <v>3511.41</v>
          </cell>
          <cell r="H565">
            <v>18.16</v>
          </cell>
        </row>
        <row r="566">
          <cell r="D566">
            <v>3511.42</v>
          </cell>
          <cell r="H566">
            <v>18.989999999999998</v>
          </cell>
        </row>
        <row r="567">
          <cell r="D567">
            <v>3511.5</v>
          </cell>
          <cell r="H567">
            <v>23.59</v>
          </cell>
        </row>
        <row r="568">
          <cell r="D568">
            <v>3551.26</v>
          </cell>
          <cell r="H568">
            <v>22.33</v>
          </cell>
        </row>
        <row r="569">
          <cell r="D569">
            <v>3551.28</v>
          </cell>
          <cell r="H569">
            <v>21.6</v>
          </cell>
        </row>
        <row r="570">
          <cell r="D570">
            <v>3551.35</v>
          </cell>
          <cell r="H570">
            <v>16.09</v>
          </cell>
        </row>
        <row r="571">
          <cell r="D571">
            <v>3551.41</v>
          </cell>
          <cell r="H571">
            <v>16.809999999999999</v>
          </cell>
        </row>
        <row r="572">
          <cell r="D572">
            <v>3551.47</v>
          </cell>
          <cell r="H572">
            <v>27.79</v>
          </cell>
        </row>
        <row r="573">
          <cell r="D573">
            <v>3551.51</v>
          </cell>
          <cell r="H573">
            <v>41.17</v>
          </cell>
        </row>
        <row r="574">
          <cell r="D574">
            <v>3551.51</v>
          </cell>
          <cell r="H574">
            <v>40.9</v>
          </cell>
        </row>
        <row r="575">
          <cell r="D575">
            <v>3551.57</v>
          </cell>
          <cell r="H575">
            <v>27.08</v>
          </cell>
        </row>
        <row r="576">
          <cell r="D576">
            <v>3601.26</v>
          </cell>
          <cell r="H576">
            <v>17.64</v>
          </cell>
        </row>
        <row r="577">
          <cell r="D577">
            <v>3601.28</v>
          </cell>
          <cell r="H577">
            <v>16.57</v>
          </cell>
        </row>
        <row r="578">
          <cell r="D578">
            <v>3601.35</v>
          </cell>
          <cell r="H578">
            <v>11.16</v>
          </cell>
        </row>
        <row r="579">
          <cell r="D579">
            <v>3601.41</v>
          </cell>
          <cell r="H579">
            <v>12.07</v>
          </cell>
        </row>
        <row r="580">
          <cell r="D580">
            <v>3601.47</v>
          </cell>
          <cell r="H580">
            <v>22.93</v>
          </cell>
        </row>
        <row r="581">
          <cell r="D581">
            <v>3601.51</v>
          </cell>
          <cell r="H581">
            <v>36.130000000000003</v>
          </cell>
        </row>
        <row r="582">
          <cell r="D582">
            <v>3601.51</v>
          </cell>
          <cell r="H582">
            <v>36.33</v>
          </cell>
        </row>
        <row r="583">
          <cell r="D583">
            <v>3601.57</v>
          </cell>
          <cell r="H583">
            <v>22.11</v>
          </cell>
        </row>
        <row r="584">
          <cell r="D584">
            <v>3651.26</v>
          </cell>
          <cell r="H584">
            <v>15.17</v>
          </cell>
        </row>
        <row r="585">
          <cell r="D585">
            <v>3651.28</v>
          </cell>
          <cell r="H585">
            <v>14.12</v>
          </cell>
        </row>
        <row r="586">
          <cell r="D586">
            <v>3651.35</v>
          </cell>
          <cell r="H586">
            <v>8.76</v>
          </cell>
        </row>
        <row r="587">
          <cell r="D587">
            <v>3651.41</v>
          </cell>
          <cell r="H587">
            <v>9.58</v>
          </cell>
        </row>
        <row r="588">
          <cell r="D588">
            <v>3651.47</v>
          </cell>
          <cell r="H588">
            <v>20.3</v>
          </cell>
        </row>
        <row r="589">
          <cell r="D589">
            <v>3651.51</v>
          </cell>
          <cell r="H589">
            <v>33.85</v>
          </cell>
        </row>
        <row r="590">
          <cell r="D590">
            <v>3651.51</v>
          </cell>
          <cell r="H590">
            <v>33.81</v>
          </cell>
        </row>
        <row r="591">
          <cell r="D591">
            <v>3651.57</v>
          </cell>
          <cell r="H591">
            <v>19.66</v>
          </cell>
        </row>
        <row r="592">
          <cell r="D592">
            <v>3701.26</v>
          </cell>
          <cell r="H592">
            <v>16.37</v>
          </cell>
        </row>
        <row r="593">
          <cell r="D593">
            <v>3701.28</v>
          </cell>
          <cell r="H593">
            <v>13.49</v>
          </cell>
        </row>
        <row r="594">
          <cell r="D594">
            <v>3701.35</v>
          </cell>
          <cell r="H594">
            <v>8.18</v>
          </cell>
        </row>
        <row r="595">
          <cell r="D595">
            <v>3701.41</v>
          </cell>
          <cell r="H595">
            <v>10.93</v>
          </cell>
        </row>
        <row r="596">
          <cell r="D596">
            <v>3701.47</v>
          </cell>
          <cell r="H596">
            <v>21.47</v>
          </cell>
        </row>
        <row r="597">
          <cell r="D597">
            <v>3701.51</v>
          </cell>
          <cell r="H597">
            <v>33.56</v>
          </cell>
        </row>
        <row r="598">
          <cell r="D598">
            <v>3701.51</v>
          </cell>
          <cell r="H598">
            <v>34.049999999999997</v>
          </cell>
        </row>
        <row r="599">
          <cell r="D599">
            <v>3701.57</v>
          </cell>
          <cell r="H599">
            <v>19.100000000000001</v>
          </cell>
        </row>
        <row r="600">
          <cell r="D600">
            <v>3751.26</v>
          </cell>
          <cell r="H600">
            <v>16.75</v>
          </cell>
        </row>
        <row r="601">
          <cell r="D601">
            <v>3751.28</v>
          </cell>
          <cell r="H601">
            <v>16.350000000000001</v>
          </cell>
        </row>
        <row r="602">
          <cell r="D602">
            <v>3751.35</v>
          </cell>
          <cell r="H602">
            <v>11.07</v>
          </cell>
        </row>
        <row r="603">
          <cell r="D603">
            <v>3751.41</v>
          </cell>
          <cell r="H603">
            <v>11.04</v>
          </cell>
        </row>
        <row r="604">
          <cell r="D604">
            <v>3751.47</v>
          </cell>
          <cell r="H604">
            <v>21.8</v>
          </cell>
        </row>
        <row r="605">
          <cell r="D605">
            <v>3751.51</v>
          </cell>
          <cell r="H605">
            <v>35.92</v>
          </cell>
        </row>
        <row r="606">
          <cell r="D606">
            <v>3751.51</v>
          </cell>
          <cell r="H606">
            <v>35.619999999999997</v>
          </cell>
        </row>
        <row r="607">
          <cell r="D607">
            <v>3751.57</v>
          </cell>
          <cell r="H607">
            <v>21.94</v>
          </cell>
        </row>
        <row r="608">
          <cell r="D608">
            <v>3801.26</v>
          </cell>
          <cell r="H608">
            <v>18.78</v>
          </cell>
        </row>
        <row r="609">
          <cell r="D609">
            <v>3801.28</v>
          </cell>
          <cell r="H609">
            <v>18.66</v>
          </cell>
        </row>
        <row r="610">
          <cell r="D610">
            <v>3801.35</v>
          </cell>
          <cell r="H610">
            <v>13.35</v>
          </cell>
        </row>
        <row r="611">
          <cell r="D611">
            <v>3801.41</v>
          </cell>
          <cell r="H611">
            <v>12.98</v>
          </cell>
        </row>
        <row r="612">
          <cell r="D612">
            <v>3801.47</v>
          </cell>
          <cell r="H612">
            <v>23.82</v>
          </cell>
        </row>
        <row r="613">
          <cell r="D613">
            <v>3801.51</v>
          </cell>
          <cell r="H613">
            <v>38.15</v>
          </cell>
        </row>
        <row r="614">
          <cell r="D614">
            <v>3801.51</v>
          </cell>
          <cell r="H614">
            <v>38.01</v>
          </cell>
        </row>
        <row r="615">
          <cell r="D615">
            <v>3801.57</v>
          </cell>
          <cell r="H615">
            <v>24.23</v>
          </cell>
        </row>
        <row r="616">
          <cell r="D616">
            <v>3851.26</v>
          </cell>
          <cell r="H616">
            <v>19.989999999999998</v>
          </cell>
        </row>
        <row r="617">
          <cell r="D617">
            <v>3851.28</v>
          </cell>
          <cell r="H617">
            <v>19.52</v>
          </cell>
        </row>
        <row r="618">
          <cell r="D618">
            <v>3851.35</v>
          </cell>
          <cell r="H618">
            <v>14.15</v>
          </cell>
        </row>
        <row r="619">
          <cell r="D619">
            <v>3851.41</v>
          </cell>
          <cell r="H619">
            <v>14.45</v>
          </cell>
        </row>
        <row r="620">
          <cell r="D620">
            <v>3851.47</v>
          </cell>
          <cell r="H620">
            <v>25.21</v>
          </cell>
        </row>
        <row r="621">
          <cell r="D621">
            <v>3851.51</v>
          </cell>
          <cell r="H621">
            <v>38.69</v>
          </cell>
        </row>
        <row r="622">
          <cell r="D622">
            <v>3851.51</v>
          </cell>
          <cell r="H622">
            <v>38.630000000000003</v>
          </cell>
        </row>
        <row r="623">
          <cell r="D623">
            <v>3851.57</v>
          </cell>
          <cell r="H623">
            <v>25.07</v>
          </cell>
        </row>
        <row r="624">
          <cell r="D624">
            <v>3898.8</v>
          </cell>
          <cell r="H624">
            <v>37.82</v>
          </cell>
        </row>
        <row r="625">
          <cell r="D625">
            <v>3898.8</v>
          </cell>
          <cell r="H625">
            <v>37.78</v>
          </cell>
        </row>
        <row r="626">
          <cell r="D626">
            <v>3898.92</v>
          </cell>
          <cell r="H626">
            <v>13.1</v>
          </cell>
        </row>
        <row r="627">
          <cell r="D627">
            <v>3899.04</v>
          </cell>
          <cell r="H627">
            <v>24.11</v>
          </cell>
        </row>
        <row r="628">
          <cell r="D628">
            <v>3899.07</v>
          </cell>
          <cell r="H628">
            <v>18.63</v>
          </cell>
        </row>
        <row r="629">
          <cell r="D629">
            <v>3899.09</v>
          </cell>
          <cell r="H629">
            <v>24.17</v>
          </cell>
        </row>
        <row r="630">
          <cell r="D630">
            <v>3899.1</v>
          </cell>
          <cell r="H630">
            <v>13.21</v>
          </cell>
        </row>
        <row r="631">
          <cell r="D631">
            <v>3899.32</v>
          </cell>
          <cell r="H631">
            <v>18.73</v>
          </cell>
        </row>
        <row r="632">
          <cell r="D632">
            <v>3948.8</v>
          </cell>
          <cell r="H632">
            <v>36.549999999999997</v>
          </cell>
        </row>
        <row r="633">
          <cell r="D633">
            <v>3948.8</v>
          </cell>
          <cell r="H633">
            <v>36.6</v>
          </cell>
        </row>
        <row r="634">
          <cell r="D634">
            <v>3948.92</v>
          </cell>
          <cell r="H634">
            <v>11.96</v>
          </cell>
        </row>
        <row r="635">
          <cell r="D635">
            <v>3949.04</v>
          </cell>
          <cell r="H635">
            <v>22.85</v>
          </cell>
        </row>
        <row r="636">
          <cell r="D636">
            <v>3949.07</v>
          </cell>
          <cell r="H636">
            <v>17.52</v>
          </cell>
        </row>
        <row r="637">
          <cell r="D637">
            <v>3949.09</v>
          </cell>
          <cell r="H637">
            <v>22.98</v>
          </cell>
        </row>
        <row r="638">
          <cell r="D638">
            <v>3949.1</v>
          </cell>
          <cell r="H638">
            <v>12.02</v>
          </cell>
        </row>
        <row r="639">
          <cell r="D639">
            <v>3949.32</v>
          </cell>
          <cell r="H639">
            <v>17.52</v>
          </cell>
        </row>
        <row r="640">
          <cell r="D640">
            <v>3998.8</v>
          </cell>
          <cell r="H640">
            <v>36.5</v>
          </cell>
        </row>
        <row r="641">
          <cell r="D641">
            <v>3998.8</v>
          </cell>
          <cell r="H641">
            <v>36.74</v>
          </cell>
        </row>
        <row r="642">
          <cell r="D642">
            <v>3998.92</v>
          </cell>
          <cell r="H642">
            <v>11.45</v>
          </cell>
        </row>
        <row r="643">
          <cell r="D643">
            <v>3999.04</v>
          </cell>
          <cell r="H643">
            <v>22.32</v>
          </cell>
        </row>
        <row r="644">
          <cell r="D644">
            <v>3999.07</v>
          </cell>
          <cell r="H644">
            <v>17.07</v>
          </cell>
        </row>
        <row r="645">
          <cell r="D645">
            <v>3999.09</v>
          </cell>
          <cell r="H645">
            <v>22.94</v>
          </cell>
        </row>
        <row r="646">
          <cell r="D646">
            <v>3999.1</v>
          </cell>
          <cell r="H646">
            <v>12.05</v>
          </cell>
        </row>
        <row r="647">
          <cell r="D647">
            <v>3999.32</v>
          </cell>
          <cell r="H647">
            <v>17.489999999999998</v>
          </cell>
        </row>
        <row r="648">
          <cell r="D648">
            <v>4048.8</v>
          </cell>
          <cell r="H648">
            <v>32.450000000000003</v>
          </cell>
        </row>
        <row r="649">
          <cell r="D649">
            <v>4048.8</v>
          </cell>
          <cell r="H649">
            <v>32.549999999999997</v>
          </cell>
        </row>
        <row r="650">
          <cell r="D650">
            <v>4048.92</v>
          </cell>
          <cell r="H650">
            <v>7.61</v>
          </cell>
        </row>
        <row r="651">
          <cell r="D651">
            <v>4049.04</v>
          </cell>
          <cell r="H651">
            <v>18.52</v>
          </cell>
        </row>
        <row r="652">
          <cell r="D652">
            <v>4049.07</v>
          </cell>
          <cell r="H652">
            <v>13.27</v>
          </cell>
        </row>
        <row r="653">
          <cell r="D653">
            <v>4049.09</v>
          </cell>
          <cell r="H653">
            <v>18.78</v>
          </cell>
        </row>
        <row r="654">
          <cell r="D654">
            <v>4049.1</v>
          </cell>
          <cell r="H654">
            <v>7.87</v>
          </cell>
        </row>
        <row r="655">
          <cell r="D655">
            <v>4049.32</v>
          </cell>
          <cell r="H655">
            <v>13.31</v>
          </cell>
        </row>
        <row r="656">
          <cell r="D656">
            <v>4098.8</v>
          </cell>
          <cell r="H656">
            <v>31.04</v>
          </cell>
        </row>
        <row r="657">
          <cell r="D657">
            <v>4098.8</v>
          </cell>
          <cell r="H657">
            <v>31.24</v>
          </cell>
        </row>
        <row r="658">
          <cell r="D658">
            <v>4098.92</v>
          </cell>
          <cell r="H658">
            <v>6.12</v>
          </cell>
        </row>
        <row r="659">
          <cell r="D659">
            <v>4099.04</v>
          </cell>
          <cell r="H659">
            <v>17.03</v>
          </cell>
        </row>
        <row r="660">
          <cell r="D660">
            <v>4099.07</v>
          </cell>
          <cell r="H660">
            <v>11.73</v>
          </cell>
        </row>
        <row r="661">
          <cell r="D661">
            <v>4099.09</v>
          </cell>
          <cell r="H661">
            <v>17.5</v>
          </cell>
        </row>
        <row r="662">
          <cell r="D662">
            <v>4099.1000000000004</v>
          </cell>
          <cell r="H662">
            <v>6.59</v>
          </cell>
        </row>
        <row r="663">
          <cell r="D663">
            <v>4099.32</v>
          </cell>
          <cell r="H663">
            <v>12.02</v>
          </cell>
        </row>
        <row r="664">
          <cell r="D664">
            <v>4148.8</v>
          </cell>
          <cell r="H664">
            <v>33.450000000000003</v>
          </cell>
        </row>
        <row r="665">
          <cell r="D665">
            <v>4148.8</v>
          </cell>
          <cell r="H665">
            <v>33.869999999999997</v>
          </cell>
        </row>
        <row r="666">
          <cell r="D666">
            <v>4148.92</v>
          </cell>
          <cell r="H666">
            <v>8.48</v>
          </cell>
        </row>
        <row r="667">
          <cell r="D667">
            <v>4149.04</v>
          </cell>
          <cell r="H667">
            <v>19.489999999999998</v>
          </cell>
        </row>
        <row r="668">
          <cell r="D668">
            <v>4149.07</v>
          </cell>
          <cell r="H668">
            <v>14.07</v>
          </cell>
        </row>
        <row r="669">
          <cell r="D669">
            <v>4149.09</v>
          </cell>
          <cell r="H669">
            <v>20.66</v>
          </cell>
        </row>
        <row r="670">
          <cell r="D670">
            <v>4149.1000000000004</v>
          </cell>
          <cell r="H670">
            <v>9.76</v>
          </cell>
        </row>
        <row r="671">
          <cell r="D671">
            <v>4149.32</v>
          </cell>
          <cell r="H671">
            <v>15.21</v>
          </cell>
        </row>
        <row r="672">
          <cell r="D672">
            <v>4165.18</v>
          </cell>
          <cell r="H672">
            <v>15.83</v>
          </cell>
        </row>
        <row r="673">
          <cell r="D673">
            <v>4165.1899999999996</v>
          </cell>
          <cell r="H673">
            <v>35.840000000000003</v>
          </cell>
        </row>
        <row r="674">
          <cell r="D674">
            <v>4165.1899999999996</v>
          </cell>
          <cell r="H674">
            <v>35.44</v>
          </cell>
        </row>
        <row r="675">
          <cell r="D675">
            <v>4165.21</v>
          </cell>
          <cell r="H675">
            <v>10.3</v>
          </cell>
        </row>
        <row r="676">
          <cell r="D676">
            <v>4165.24</v>
          </cell>
          <cell r="H676">
            <v>22.71</v>
          </cell>
        </row>
        <row r="677">
          <cell r="D677">
            <v>4165.2700000000004</v>
          </cell>
          <cell r="H677">
            <v>21.32</v>
          </cell>
        </row>
        <row r="678">
          <cell r="D678">
            <v>4165.32</v>
          </cell>
          <cell r="H678">
            <v>17.23</v>
          </cell>
        </row>
        <row r="679">
          <cell r="D679">
            <v>4165.3599999999997</v>
          </cell>
          <cell r="H679">
            <v>11.78</v>
          </cell>
        </row>
        <row r="680">
          <cell r="D680">
            <v>4215.18</v>
          </cell>
          <cell r="H680">
            <v>13.69</v>
          </cell>
        </row>
        <row r="681">
          <cell r="D681">
            <v>4215.1899999999996</v>
          </cell>
          <cell r="H681">
            <v>33.06</v>
          </cell>
        </row>
        <row r="682">
          <cell r="D682">
            <v>4215.1899999999996</v>
          </cell>
          <cell r="H682">
            <v>33.369999999999997</v>
          </cell>
        </row>
        <row r="683">
          <cell r="D683">
            <v>4215.21</v>
          </cell>
          <cell r="H683">
            <v>8.0500000000000007</v>
          </cell>
        </row>
        <row r="684">
          <cell r="D684">
            <v>4215.24</v>
          </cell>
          <cell r="H684">
            <v>19.940000000000001</v>
          </cell>
        </row>
        <row r="685">
          <cell r="D685">
            <v>4215.2700000000004</v>
          </cell>
          <cell r="H685">
            <v>18.98</v>
          </cell>
        </row>
        <row r="686">
          <cell r="D686">
            <v>4215.32</v>
          </cell>
          <cell r="H686">
            <v>14.49</v>
          </cell>
        </row>
        <row r="687">
          <cell r="D687">
            <v>4215.3599999999997</v>
          </cell>
          <cell r="H687">
            <v>9.1</v>
          </cell>
        </row>
        <row r="688">
          <cell r="D688">
            <v>4265.18</v>
          </cell>
          <cell r="H688">
            <v>11.42</v>
          </cell>
        </row>
        <row r="689">
          <cell r="D689">
            <v>4265.1899999999996</v>
          </cell>
          <cell r="H689">
            <v>30.55</v>
          </cell>
        </row>
        <row r="690">
          <cell r="D690">
            <v>4265.1899999999996</v>
          </cell>
          <cell r="H690">
            <v>30.82</v>
          </cell>
        </row>
        <row r="691">
          <cell r="D691">
            <v>4265.21</v>
          </cell>
          <cell r="H691">
            <v>5.7</v>
          </cell>
        </row>
        <row r="692">
          <cell r="D692">
            <v>4265.24</v>
          </cell>
          <cell r="H692">
            <v>17.239999999999998</v>
          </cell>
        </row>
        <row r="693">
          <cell r="D693">
            <v>4265.2700000000004</v>
          </cell>
          <cell r="H693">
            <v>16.59</v>
          </cell>
        </row>
        <row r="694">
          <cell r="D694">
            <v>4265.32</v>
          </cell>
          <cell r="H694">
            <v>11.81</v>
          </cell>
        </row>
        <row r="695">
          <cell r="D695">
            <v>4265.3599999999997</v>
          </cell>
          <cell r="H695">
            <v>6.46</v>
          </cell>
        </row>
        <row r="696">
          <cell r="D696">
            <v>4315.18</v>
          </cell>
          <cell r="H696">
            <v>19.59</v>
          </cell>
        </row>
        <row r="697">
          <cell r="D697">
            <v>4315.1899999999996</v>
          </cell>
          <cell r="H697">
            <v>38.83</v>
          </cell>
        </row>
        <row r="698">
          <cell r="D698">
            <v>4315.1899999999996</v>
          </cell>
          <cell r="H698">
            <v>39.119999999999997</v>
          </cell>
        </row>
        <row r="699">
          <cell r="D699">
            <v>4315.21</v>
          </cell>
          <cell r="H699">
            <v>13.85</v>
          </cell>
        </row>
        <row r="700">
          <cell r="D700">
            <v>4315.24</v>
          </cell>
          <cell r="H700">
            <v>25.58</v>
          </cell>
        </row>
        <row r="701">
          <cell r="D701">
            <v>4315.2700000000004</v>
          </cell>
          <cell r="H701">
            <v>24.7</v>
          </cell>
        </row>
        <row r="702">
          <cell r="D702">
            <v>4315.32</v>
          </cell>
          <cell r="H702">
            <v>20.170000000000002</v>
          </cell>
        </row>
        <row r="703">
          <cell r="D703">
            <v>4315.3599999999997</v>
          </cell>
          <cell r="H703">
            <v>14.87</v>
          </cell>
        </row>
        <row r="704">
          <cell r="D704">
            <v>4365.18</v>
          </cell>
          <cell r="H704">
            <v>16.37</v>
          </cell>
        </row>
        <row r="705">
          <cell r="D705">
            <v>4365.1899999999996</v>
          </cell>
          <cell r="H705">
            <v>35.450000000000003</v>
          </cell>
        </row>
        <row r="706">
          <cell r="D706">
            <v>4365.1899999999996</v>
          </cell>
          <cell r="H706">
            <v>35.479999999999997</v>
          </cell>
        </row>
        <row r="707">
          <cell r="D707">
            <v>4365.21</v>
          </cell>
          <cell r="H707">
            <v>10.63</v>
          </cell>
        </row>
        <row r="708">
          <cell r="D708">
            <v>4365.24</v>
          </cell>
          <cell r="H708">
            <v>21.93</v>
          </cell>
        </row>
        <row r="709">
          <cell r="D709">
            <v>4365.2700000000004</v>
          </cell>
          <cell r="H709">
            <v>21.43</v>
          </cell>
        </row>
        <row r="710">
          <cell r="D710">
            <v>4365.32</v>
          </cell>
          <cell r="H710">
            <v>16.5</v>
          </cell>
        </row>
        <row r="711">
          <cell r="D711">
            <v>4365.3599999999997</v>
          </cell>
          <cell r="H711">
            <v>11.2</v>
          </cell>
        </row>
        <row r="712">
          <cell r="D712">
            <v>4415.18</v>
          </cell>
          <cell r="H712">
            <v>13.7</v>
          </cell>
        </row>
        <row r="713">
          <cell r="D713">
            <v>4415.1899999999996</v>
          </cell>
          <cell r="H713">
            <v>32.86</v>
          </cell>
        </row>
        <row r="714">
          <cell r="D714">
            <v>4415.1899999999996</v>
          </cell>
          <cell r="H714">
            <v>33.090000000000003</v>
          </cell>
        </row>
        <row r="715">
          <cell r="D715">
            <v>4415.21</v>
          </cell>
          <cell r="H715">
            <v>8.01</v>
          </cell>
        </row>
        <row r="716">
          <cell r="D716">
            <v>4415.24</v>
          </cell>
          <cell r="H716">
            <v>19.53</v>
          </cell>
        </row>
        <row r="717">
          <cell r="D717">
            <v>4415.2700000000004</v>
          </cell>
          <cell r="H717">
            <v>18.82</v>
          </cell>
        </row>
        <row r="718">
          <cell r="D718">
            <v>4415.32</v>
          </cell>
          <cell r="H718">
            <v>14.1</v>
          </cell>
        </row>
        <row r="719">
          <cell r="D719">
            <v>4415.3599999999997</v>
          </cell>
          <cell r="H719">
            <v>8.7899999999999991</v>
          </cell>
        </row>
        <row r="720">
          <cell r="D720">
            <v>4465.18</v>
          </cell>
          <cell r="H720">
            <v>12.49</v>
          </cell>
        </row>
        <row r="721">
          <cell r="D721">
            <v>4465.1899999999996</v>
          </cell>
          <cell r="H721">
            <v>31.48</v>
          </cell>
        </row>
        <row r="722">
          <cell r="D722">
            <v>4465.1899999999996</v>
          </cell>
          <cell r="H722">
            <v>31.76</v>
          </cell>
        </row>
        <row r="723">
          <cell r="D723">
            <v>4465.21</v>
          </cell>
          <cell r="H723">
            <v>6.8</v>
          </cell>
        </row>
        <row r="724">
          <cell r="D724">
            <v>4465.24</v>
          </cell>
          <cell r="H724">
            <v>18.170000000000002</v>
          </cell>
        </row>
        <row r="725">
          <cell r="D725">
            <v>4465.2700000000004</v>
          </cell>
          <cell r="H725">
            <v>17.690000000000001</v>
          </cell>
        </row>
        <row r="726">
          <cell r="D726">
            <v>4465.32</v>
          </cell>
          <cell r="H726">
            <v>12.72</v>
          </cell>
        </row>
        <row r="727">
          <cell r="D727">
            <v>4465.3599999999997</v>
          </cell>
          <cell r="H727">
            <v>7.36</v>
          </cell>
        </row>
        <row r="728">
          <cell r="D728">
            <v>4515.18</v>
          </cell>
          <cell r="H728">
            <v>12.04</v>
          </cell>
        </row>
        <row r="729">
          <cell r="D729">
            <v>4515.1899999999996</v>
          </cell>
          <cell r="H729">
            <v>31.14</v>
          </cell>
        </row>
        <row r="730">
          <cell r="D730">
            <v>4515.1899999999996</v>
          </cell>
          <cell r="H730">
            <v>31.16</v>
          </cell>
        </row>
        <row r="731">
          <cell r="D731">
            <v>4515.21</v>
          </cell>
          <cell r="H731">
            <v>6.51</v>
          </cell>
        </row>
        <row r="732">
          <cell r="D732">
            <v>4515.24</v>
          </cell>
          <cell r="H732">
            <v>17.64</v>
          </cell>
        </row>
        <row r="733">
          <cell r="D733">
            <v>4515.2700000000004</v>
          </cell>
          <cell r="H733">
            <v>17.420000000000002</v>
          </cell>
        </row>
        <row r="734">
          <cell r="D734">
            <v>4515.32</v>
          </cell>
          <cell r="H734">
            <v>12.17</v>
          </cell>
        </row>
        <row r="735">
          <cell r="D735">
            <v>4515.3599999999997</v>
          </cell>
          <cell r="H735">
            <v>6.76</v>
          </cell>
        </row>
        <row r="736">
          <cell r="D736">
            <v>4537.46</v>
          </cell>
          <cell r="H736">
            <v>8.6199999999999992</v>
          </cell>
        </row>
        <row r="737">
          <cell r="D737">
            <v>4537.4799999999996</v>
          </cell>
          <cell r="H737">
            <v>14.13</v>
          </cell>
        </row>
        <row r="738">
          <cell r="D738">
            <v>4537.57</v>
          </cell>
          <cell r="H738">
            <v>33.130000000000003</v>
          </cell>
        </row>
        <row r="739">
          <cell r="D739">
            <v>4537.57</v>
          </cell>
          <cell r="H739">
            <v>32.99</v>
          </cell>
        </row>
        <row r="740">
          <cell r="D740">
            <v>4537.68</v>
          </cell>
          <cell r="H740">
            <v>19.57</v>
          </cell>
        </row>
        <row r="741">
          <cell r="D741">
            <v>4537.7299999999996</v>
          </cell>
          <cell r="H741">
            <v>8.3699999999999992</v>
          </cell>
        </row>
        <row r="742">
          <cell r="D742">
            <v>4537.87</v>
          </cell>
          <cell r="H742">
            <v>19.350000000000001</v>
          </cell>
        </row>
        <row r="743">
          <cell r="D743">
            <v>4537.91</v>
          </cell>
          <cell r="H743">
            <v>13.87</v>
          </cell>
        </row>
        <row r="744">
          <cell r="D744">
            <v>4587.46</v>
          </cell>
          <cell r="H744">
            <v>4.62</v>
          </cell>
        </row>
        <row r="745">
          <cell r="D745">
            <v>4587.4799999999996</v>
          </cell>
          <cell r="H745">
            <v>10.17</v>
          </cell>
        </row>
        <row r="746">
          <cell r="D746">
            <v>4587.57</v>
          </cell>
          <cell r="H746">
            <v>29.5</v>
          </cell>
        </row>
        <row r="747">
          <cell r="D747">
            <v>4587.57</v>
          </cell>
          <cell r="H747">
            <v>29.67</v>
          </cell>
        </row>
        <row r="748">
          <cell r="D748">
            <v>4587.68</v>
          </cell>
          <cell r="H748">
            <v>15.63</v>
          </cell>
        </row>
        <row r="749">
          <cell r="D749">
            <v>4587.7299999999996</v>
          </cell>
          <cell r="H749">
            <v>4.38</v>
          </cell>
        </row>
        <row r="750">
          <cell r="D750">
            <v>4587.87</v>
          </cell>
          <cell r="H750">
            <v>15.31</v>
          </cell>
        </row>
        <row r="751">
          <cell r="D751">
            <v>4587.91</v>
          </cell>
          <cell r="H751">
            <v>9.86</v>
          </cell>
        </row>
        <row r="752">
          <cell r="D752">
            <v>4637.46</v>
          </cell>
          <cell r="H752">
            <v>4.22</v>
          </cell>
        </row>
        <row r="753">
          <cell r="D753">
            <v>4637.4799999999996</v>
          </cell>
          <cell r="H753">
            <v>9.7200000000000006</v>
          </cell>
        </row>
        <row r="754">
          <cell r="D754">
            <v>4637.57</v>
          </cell>
          <cell r="H754">
            <v>28.96</v>
          </cell>
        </row>
        <row r="755">
          <cell r="D755">
            <v>4637.57</v>
          </cell>
          <cell r="H755">
            <v>28.99</v>
          </cell>
        </row>
        <row r="756">
          <cell r="D756">
            <v>4637.68</v>
          </cell>
          <cell r="H756">
            <v>15.16</v>
          </cell>
        </row>
        <row r="757">
          <cell r="D757">
            <v>4637.7299999999996</v>
          </cell>
          <cell r="H757">
            <v>4.08</v>
          </cell>
        </row>
        <row r="758">
          <cell r="D758">
            <v>4637.87</v>
          </cell>
          <cell r="H758">
            <v>15.04</v>
          </cell>
        </row>
        <row r="759">
          <cell r="D759">
            <v>4637.91</v>
          </cell>
          <cell r="H759">
            <v>9.59</v>
          </cell>
        </row>
        <row r="760">
          <cell r="D760">
            <v>4687.46</v>
          </cell>
          <cell r="H760">
            <v>6.19</v>
          </cell>
        </row>
        <row r="761">
          <cell r="D761">
            <v>4687.4799999999996</v>
          </cell>
          <cell r="H761">
            <v>11.66</v>
          </cell>
        </row>
        <row r="762">
          <cell r="D762">
            <v>4687.57</v>
          </cell>
          <cell r="H762">
            <v>30.49</v>
          </cell>
        </row>
        <row r="763">
          <cell r="D763">
            <v>4687.57</v>
          </cell>
          <cell r="H763">
            <v>30.72</v>
          </cell>
        </row>
        <row r="764">
          <cell r="D764">
            <v>4687.68</v>
          </cell>
          <cell r="H764">
            <v>17.11</v>
          </cell>
        </row>
        <row r="765">
          <cell r="D765">
            <v>4687.7299999999996</v>
          </cell>
          <cell r="H765">
            <v>5.67</v>
          </cell>
        </row>
        <row r="766">
          <cell r="D766">
            <v>4687.87</v>
          </cell>
          <cell r="H766">
            <v>16.670000000000002</v>
          </cell>
        </row>
        <row r="767">
          <cell r="D767">
            <v>4687.91</v>
          </cell>
          <cell r="H767">
            <v>11.22</v>
          </cell>
        </row>
        <row r="768">
          <cell r="D768">
            <v>4705.6400000000003</v>
          </cell>
          <cell r="H768">
            <v>12.29</v>
          </cell>
        </row>
        <row r="769">
          <cell r="D769">
            <v>4705.8100000000004</v>
          </cell>
          <cell r="H769">
            <v>17.760000000000002</v>
          </cell>
        </row>
        <row r="770">
          <cell r="D770">
            <v>4705.8100000000004</v>
          </cell>
          <cell r="H770">
            <v>6.78</v>
          </cell>
        </row>
        <row r="771">
          <cell r="D771">
            <v>4706.16</v>
          </cell>
          <cell r="H771">
            <v>18.350000000000001</v>
          </cell>
        </row>
        <row r="772">
          <cell r="D772">
            <v>4706.16</v>
          </cell>
          <cell r="H772">
            <v>31.58</v>
          </cell>
        </row>
        <row r="773">
          <cell r="D773">
            <v>4706.16</v>
          </cell>
          <cell r="H773">
            <v>31.75</v>
          </cell>
        </row>
        <row r="774">
          <cell r="D774">
            <v>4706.2299999999996</v>
          </cell>
          <cell r="H774">
            <v>12.87</v>
          </cell>
        </row>
        <row r="775">
          <cell r="D775">
            <v>4706.37</v>
          </cell>
          <cell r="H775">
            <v>7.44</v>
          </cell>
        </row>
        <row r="776">
          <cell r="D776">
            <v>4755.6400000000003</v>
          </cell>
          <cell r="H776">
            <v>11.8</v>
          </cell>
        </row>
        <row r="777">
          <cell r="D777">
            <v>4755.8</v>
          </cell>
          <cell r="H777">
            <v>17.27</v>
          </cell>
        </row>
        <row r="778">
          <cell r="D778">
            <v>4755.8100000000004</v>
          </cell>
          <cell r="H778">
            <v>6.31</v>
          </cell>
        </row>
        <row r="779">
          <cell r="D779">
            <v>4756.16</v>
          </cell>
          <cell r="H779">
            <v>17.420000000000002</v>
          </cell>
        </row>
        <row r="780">
          <cell r="D780">
            <v>4756.16</v>
          </cell>
          <cell r="H780">
            <v>31.07</v>
          </cell>
        </row>
        <row r="781">
          <cell r="D781">
            <v>4756.16</v>
          </cell>
          <cell r="H781">
            <v>31.09</v>
          </cell>
        </row>
        <row r="782">
          <cell r="D782">
            <v>4756.2299999999996</v>
          </cell>
          <cell r="H782">
            <v>12.05</v>
          </cell>
        </row>
        <row r="783">
          <cell r="D783">
            <v>4756.37</v>
          </cell>
          <cell r="H783">
            <v>6.47</v>
          </cell>
        </row>
        <row r="784">
          <cell r="D784">
            <v>4805.6400000000003</v>
          </cell>
          <cell r="H784">
            <v>13.55</v>
          </cell>
        </row>
        <row r="785">
          <cell r="D785">
            <v>4805.8</v>
          </cell>
          <cell r="H785">
            <v>19.010000000000002</v>
          </cell>
        </row>
        <row r="786">
          <cell r="D786">
            <v>4805.8100000000004</v>
          </cell>
          <cell r="H786">
            <v>8.0399999999999991</v>
          </cell>
        </row>
        <row r="787">
          <cell r="D787">
            <v>4806.16</v>
          </cell>
          <cell r="H787">
            <v>20.27</v>
          </cell>
        </row>
        <row r="788">
          <cell r="D788">
            <v>4806.16</v>
          </cell>
          <cell r="H788">
            <v>33.369999999999997</v>
          </cell>
        </row>
        <row r="789">
          <cell r="D789">
            <v>4806.16</v>
          </cell>
          <cell r="H789">
            <v>33.700000000000003</v>
          </cell>
        </row>
        <row r="790">
          <cell r="D790">
            <v>4806.2299999999996</v>
          </cell>
          <cell r="H790">
            <v>14.98</v>
          </cell>
        </row>
        <row r="791">
          <cell r="D791">
            <v>4806.37</v>
          </cell>
          <cell r="H791">
            <v>9.4</v>
          </cell>
        </row>
        <row r="792">
          <cell r="D792">
            <v>4855.6400000000003</v>
          </cell>
          <cell r="H792">
            <v>20.74</v>
          </cell>
        </row>
        <row r="793">
          <cell r="D793">
            <v>4855.8</v>
          </cell>
          <cell r="H793">
            <v>26.23</v>
          </cell>
        </row>
        <row r="794">
          <cell r="D794">
            <v>4855.8100000000004</v>
          </cell>
          <cell r="H794">
            <v>15.32</v>
          </cell>
        </row>
        <row r="795">
          <cell r="D795">
            <v>4856.16</v>
          </cell>
          <cell r="H795">
            <v>26.77</v>
          </cell>
        </row>
        <row r="796">
          <cell r="D796">
            <v>4856.16</v>
          </cell>
          <cell r="H796">
            <v>40.18</v>
          </cell>
        </row>
        <row r="797">
          <cell r="D797">
            <v>4856.16</v>
          </cell>
          <cell r="H797">
            <v>40.29</v>
          </cell>
        </row>
        <row r="798">
          <cell r="D798">
            <v>4856.2299999999996</v>
          </cell>
          <cell r="H798">
            <v>21.54</v>
          </cell>
        </row>
        <row r="799">
          <cell r="D799">
            <v>4856.37</v>
          </cell>
          <cell r="H799">
            <v>16</v>
          </cell>
        </row>
        <row r="800">
          <cell r="D800">
            <v>4905.6400000000003</v>
          </cell>
          <cell r="H800">
            <v>16.100000000000001</v>
          </cell>
        </row>
        <row r="801">
          <cell r="D801">
            <v>4905.8</v>
          </cell>
          <cell r="H801">
            <v>21.54</v>
          </cell>
        </row>
        <row r="802">
          <cell r="D802">
            <v>4905.8100000000004</v>
          </cell>
          <cell r="H802">
            <v>10.69</v>
          </cell>
        </row>
        <row r="803">
          <cell r="D803">
            <v>4906.16</v>
          </cell>
          <cell r="H803">
            <v>21.05</v>
          </cell>
        </row>
        <row r="804">
          <cell r="D804">
            <v>4906.16</v>
          </cell>
          <cell r="H804">
            <v>35.200000000000003</v>
          </cell>
        </row>
        <row r="805">
          <cell r="D805">
            <v>4906.16</v>
          </cell>
          <cell r="H805">
            <v>35</v>
          </cell>
        </row>
        <row r="806">
          <cell r="D806">
            <v>4906.2299999999996</v>
          </cell>
          <cell r="H806">
            <v>15.79</v>
          </cell>
        </row>
        <row r="807">
          <cell r="D807">
            <v>4906.37</v>
          </cell>
          <cell r="H807">
            <v>10.14</v>
          </cell>
        </row>
        <row r="808">
          <cell r="D808">
            <v>4955.6400000000003</v>
          </cell>
          <cell r="H808">
            <v>13.9</v>
          </cell>
        </row>
        <row r="809">
          <cell r="D809">
            <v>4955.8</v>
          </cell>
          <cell r="H809">
            <v>19.36</v>
          </cell>
        </row>
        <row r="810">
          <cell r="D810">
            <v>4955.8100000000004</v>
          </cell>
          <cell r="H810">
            <v>8.51</v>
          </cell>
        </row>
        <row r="811">
          <cell r="D811">
            <v>4956.16</v>
          </cell>
          <cell r="H811">
            <v>18.55</v>
          </cell>
        </row>
        <row r="812">
          <cell r="D812">
            <v>4956.16</v>
          </cell>
          <cell r="H812">
            <v>32.85</v>
          </cell>
        </row>
        <row r="813">
          <cell r="D813">
            <v>4956.16</v>
          </cell>
          <cell r="H813">
            <v>32.549999999999997</v>
          </cell>
        </row>
        <row r="814">
          <cell r="D814">
            <v>4956.2299999999996</v>
          </cell>
          <cell r="H814">
            <v>13.27</v>
          </cell>
        </row>
        <row r="815">
          <cell r="D815">
            <v>4956.37</v>
          </cell>
          <cell r="H815">
            <v>7.62</v>
          </cell>
        </row>
        <row r="816">
          <cell r="D816">
            <v>5005.6400000000003</v>
          </cell>
          <cell r="H816">
            <v>14.32</v>
          </cell>
        </row>
        <row r="817">
          <cell r="D817">
            <v>5005.8</v>
          </cell>
          <cell r="H817">
            <v>19.82</v>
          </cell>
        </row>
        <row r="818">
          <cell r="D818">
            <v>5005.8100000000004</v>
          </cell>
          <cell r="H818">
            <v>8.9600000000000009</v>
          </cell>
        </row>
        <row r="819">
          <cell r="D819">
            <v>5006.16</v>
          </cell>
          <cell r="H819">
            <v>19.489999999999998</v>
          </cell>
        </row>
        <row r="820">
          <cell r="D820">
            <v>5006.16</v>
          </cell>
          <cell r="H820">
            <v>33.450000000000003</v>
          </cell>
        </row>
        <row r="821">
          <cell r="D821">
            <v>5006.16</v>
          </cell>
          <cell r="H821">
            <v>33.340000000000003</v>
          </cell>
        </row>
        <row r="822">
          <cell r="D822">
            <v>5006.2299999999996</v>
          </cell>
          <cell r="H822">
            <v>14.17</v>
          </cell>
        </row>
        <row r="823">
          <cell r="D823">
            <v>5006.37</v>
          </cell>
          <cell r="H823">
            <v>8.58</v>
          </cell>
        </row>
        <row r="824">
          <cell r="D824">
            <v>5055.6400000000003</v>
          </cell>
          <cell r="H824">
            <v>22.74</v>
          </cell>
        </row>
        <row r="825">
          <cell r="D825">
            <v>5055.8</v>
          </cell>
          <cell r="H825">
            <v>28.19</v>
          </cell>
        </row>
        <row r="826">
          <cell r="D826">
            <v>5055.8100000000004</v>
          </cell>
          <cell r="H826">
            <v>17.32</v>
          </cell>
        </row>
        <row r="827">
          <cell r="D827">
            <v>5056.16</v>
          </cell>
          <cell r="H827">
            <v>26.65</v>
          </cell>
        </row>
        <row r="828">
          <cell r="D828">
            <v>5056.16</v>
          </cell>
          <cell r="H828">
            <v>41.21</v>
          </cell>
        </row>
        <row r="829">
          <cell r="D829">
            <v>5056.16</v>
          </cell>
          <cell r="H829">
            <v>40.799999999999997</v>
          </cell>
        </row>
        <row r="830">
          <cell r="D830">
            <v>5056.2299999999996</v>
          </cell>
          <cell r="H830">
            <v>21.23</v>
          </cell>
        </row>
        <row r="831">
          <cell r="D831">
            <v>5056.37</v>
          </cell>
          <cell r="H831">
            <v>15.7</v>
          </cell>
        </row>
        <row r="832">
          <cell r="D832">
            <v>5081.9399999999996</v>
          </cell>
          <cell r="H832">
            <v>15.89</v>
          </cell>
        </row>
        <row r="833">
          <cell r="D833">
            <v>5082.2299999999996</v>
          </cell>
          <cell r="H833">
            <v>16.37</v>
          </cell>
        </row>
        <row r="834">
          <cell r="D834">
            <v>5082.24</v>
          </cell>
          <cell r="H834">
            <v>26.87</v>
          </cell>
        </row>
        <row r="835">
          <cell r="D835">
            <v>5082.2700000000004</v>
          </cell>
          <cell r="H835">
            <v>21.85</v>
          </cell>
        </row>
        <row r="836">
          <cell r="D836">
            <v>5082.2700000000004</v>
          </cell>
          <cell r="H836">
            <v>27.33</v>
          </cell>
        </row>
        <row r="837">
          <cell r="D837">
            <v>5082.2700000000004</v>
          </cell>
          <cell r="H837">
            <v>21.39</v>
          </cell>
        </row>
        <row r="838">
          <cell r="D838">
            <v>5082.37</v>
          </cell>
          <cell r="H838">
            <v>40.58</v>
          </cell>
        </row>
        <row r="839">
          <cell r="D839">
            <v>5082.38</v>
          </cell>
          <cell r="H839">
            <v>40.81</v>
          </cell>
        </row>
        <row r="840">
          <cell r="D840">
            <v>5131.8999999999996</v>
          </cell>
          <cell r="H840">
            <v>15.25</v>
          </cell>
        </row>
        <row r="841">
          <cell r="D841">
            <v>5132.2</v>
          </cell>
          <cell r="H841">
            <v>26.26</v>
          </cell>
        </row>
        <row r="842">
          <cell r="D842">
            <v>5132.2299999999996</v>
          </cell>
          <cell r="H842">
            <v>20.87</v>
          </cell>
        </row>
        <row r="843">
          <cell r="D843">
            <v>5132.2700000000004</v>
          </cell>
          <cell r="H843">
            <v>15.24</v>
          </cell>
        </row>
        <row r="844">
          <cell r="D844">
            <v>5132.3100000000004</v>
          </cell>
          <cell r="H844">
            <v>20.64</v>
          </cell>
        </row>
        <row r="845">
          <cell r="D845">
            <v>5132.3100000000004</v>
          </cell>
          <cell r="H845">
            <v>26.1</v>
          </cell>
        </row>
        <row r="846">
          <cell r="D846">
            <v>5132.3599999999997</v>
          </cell>
          <cell r="H846">
            <v>39.93</v>
          </cell>
        </row>
        <row r="847">
          <cell r="D847">
            <v>5132.38</v>
          </cell>
          <cell r="H847">
            <v>39.19</v>
          </cell>
        </row>
        <row r="848">
          <cell r="D848">
            <v>5181.8999999999996</v>
          </cell>
          <cell r="H848">
            <v>9.7799999999999994</v>
          </cell>
        </row>
        <row r="849">
          <cell r="D849">
            <v>5182.2</v>
          </cell>
          <cell r="H849">
            <v>20.83</v>
          </cell>
        </row>
        <row r="850">
          <cell r="D850">
            <v>5182.2299999999996</v>
          </cell>
          <cell r="H850">
            <v>15.49</v>
          </cell>
        </row>
        <row r="851">
          <cell r="D851">
            <v>5182.2700000000004</v>
          </cell>
          <cell r="H851">
            <v>10.69</v>
          </cell>
        </row>
        <row r="852">
          <cell r="D852">
            <v>5182.3100000000004</v>
          </cell>
          <cell r="H852">
            <v>16.13</v>
          </cell>
        </row>
        <row r="853">
          <cell r="D853">
            <v>5182.3100000000004</v>
          </cell>
          <cell r="H853">
            <v>21.6</v>
          </cell>
        </row>
        <row r="854">
          <cell r="D854">
            <v>5182.3599999999997</v>
          </cell>
          <cell r="H854">
            <v>34.61</v>
          </cell>
        </row>
        <row r="855">
          <cell r="D855">
            <v>5182.38</v>
          </cell>
          <cell r="H855">
            <v>35.03</v>
          </cell>
        </row>
        <row r="856">
          <cell r="D856">
            <v>5231.8999999999996</v>
          </cell>
          <cell r="H856">
            <v>7.31</v>
          </cell>
        </row>
        <row r="857">
          <cell r="D857">
            <v>5232.2</v>
          </cell>
          <cell r="H857">
            <v>18.48</v>
          </cell>
        </row>
        <row r="858">
          <cell r="D858">
            <v>5232.2299999999996</v>
          </cell>
          <cell r="H858">
            <v>13.15</v>
          </cell>
        </row>
        <row r="859">
          <cell r="D859">
            <v>5232.2700000000004</v>
          </cell>
          <cell r="H859">
            <v>9.25</v>
          </cell>
        </row>
        <row r="860">
          <cell r="D860">
            <v>5232.3100000000004</v>
          </cell>
          <cell r="H860">
            <v>14.52</v>
          </cell>
        </row>
        <row r="861">
          <cell r="D861">
            <v>5232.3100000000004</v>
          </cell>
          <cell r="H861">
            <v>19.97</v>
          </cell>
        </row>
        <row r="862">
          <cell r="D862">
            <v>5232.3599999999997</v>
          </cell>
          <cell r="H862">
            <v>32.42</v>
          </cell>
        </row>
        <row r="863">
          <cell r="D863">
            <v>5232.38</v>
          </cell>
          <cell r="H863">
            <v>32.86</v>
          </cell>
        </row>
        <row r="864">
          <cell r="D864">
            <v>5281.9</v>
          </cell>
          <cell r="H864">
            <v>8.4700000000000006</v>
          </cell>
        </row>
        <row r="865">
          <cell r="D865">
            <v>5282.2</v>
          </cell>
          <cell r="H865">
            <v>19.62</v>
          </cell>
        </row>
        <row r="866">
          <cell r="D866">
            <v>5282.23</v>
          </cell>
          <cell r="H866">
            <v>14.26</v>
          </cell>
        </row>
        <row r="867">
          <cell r="D867">
            <v>5282.27</v>
          </cell>
          <cell r="H867">
            <v>10.87</v>
          </cell>
        </row>
        <row r="868">
          <cell r="D868">
            <v>5282.31</v>
          </cell>
          <cell r="H868">
            <v>16.239999999999998</v>
          </cell>
        </row>
        <row r="869">
          <cell r="D869">
            <v>5282.31</v>
          </cell>
          <cell r="H869">
            <v>21.7</v>
          </cell>
        </row>
        <row r="870">
          <cell r="D870">
            <v>5282.36</v>
          </cell>
          <cell r="H870">
            <v>33.76</v>
          </cell>
        </row>
        <row r="871">
          <cell r="D871">
            <v>5282.38</v>
          </cell>
          <cell r="H871">
            <v>34.51</v>
          </cell>
        </row>
        <row r="872">
          <cell r="D872">
            <v>5331.9</v>
          </cell>
          <cell r="H872">
            <v>6.8</v>
          </cell>
        </row>
        <row r="873">
          <cell r="D873">
            <v>5332.2</v>
          </cell>
          <cell r="H873">
            <v>17.89</v>
          </cell>
        </row>
        <row r="874">
          <cell r="D874">
            <v>5332.23</v>
          </cell>
          <cell r="H874">
            <v>12.5</v>
          </cell>
        </row>
        <row r="875">
          <cell r="D875">
            <v>5332.27</v>
          </cell>
          <cell r="H875">
            <v>7.18</v>
          </cell>
        </row>
        <row r="876">
          <cell r="D876">
            <v>5332.31</v>
          </cell>
          <cell r="H876">
            <v>12.66</v>
          </cell>
        </row>
        <row r="877">
          <cell r="D877">
            <v>5332.31</v>
          </cell>
          <cell r="H877">
            <v>18.149999999999999</v>
          </cell>
        </row>
        <row r="878">
          <cell r="D878">
            <v>5332.36</v>
          </cell>
          <cell r="H878">
            <v>31.32</v>
          </cell>
        </row>
        <row r="879">
          <cell r="D879">
            <v>5332.38</v>
          </cell>
          <cell r="H879">
            <v>31.44</v>
          </cell>
        </row>
        <row r="880">
          <cell r="D880">
            <v>5381.9</v>
          </cell>
          <cell r="H880">
            <v>15.05</v>
          </cell>
        </row>
        <row r="881">
          <cell r="D881">
            <v>5382.2</v>
          </cell>
          <cell r="H881">
            <v>26.06</v>
          </cell>
        </row>
        <row r="882">
          <cell r="D882">
            <v>5382.23</v>
          </cell>
          <cell r="H882">
            <v>20.59</v>
          </cell>
        </row>
        <row r="883">
          <cell r="D883">
            <v>5382.27</v>
          </cell>
          <cell r="H883">
            <v>14.55</v>
          </cell>
        </row>
        <row r="884">
          <cell r="D884">
            <v>5382.31</v>
          </cell>
          <cell r="H884">
            <v>20.07</v>
          </cell>
        </row>
        <row r="885">
          <cell r="D885">
            <v>5382.31</v>
          </cell>
          <cell r="H885">
            <v>25.57</v>
          </cell>
        </row>
        <row r="886">
          <cell r="D886">
            <v>5382.34</v>
          </cell>
          <cell r="H886">
            <v>25.58</v>
          </cell>
        </row>
        <row r="887">
          <cell r="D887">
            <v>5382.36</v>
          </cell>
          <cell r="H887">
            <v>38.96</v>
          </cell>
        </row>
        <row r="888">
          <cell r="D888">
            <v>5382.38</v>
          </cell>
          <cell r="H888">
            <v>38.89</v>
          </cell>
        </row>
        <row r="889">
          <cell r="D889">
            <v>5382.56</v>
          </cell>
          <cell r="H889">
            <v>15.2</v>
          </cell>
        </row>
        <row r="890">
          <cell r="D890">
            <v>5382.56</v>
          </cell>
          <cell r="H890">
            <v>20.65</v>
          </cell>
        </row>
        <row r="891">
          <cell r="D891">
            <v>5382.56</v>
          </cell>
          <cell r="H891">
            <v>26.14</v>
          </cell>
        </row>
        <row r="892">
          <cell r="D892">
            <v>5382.56</v>
          </cell>
          <cell r="H892">
            <v>39.03</v>
          </cell>
        </row>
        <row r="893">
          <cell r="D893">
            <v>5382.62</v>
          </cell>
          <cell r="H893">
            <v>38.909999999999997</v>
          </cell>
        </row>
        <row r="894">
          <cell r="D894">
            <v>5382.79</v>
          </cell>
          <cell r="H894">
            <v>14.56</v>
          </cell>
        </row>
        <row r="895">
          <cell r="D895">
            <v>5382.81</v>
          </cell>
          <cell r="H895">
            <v>20.09</v>
          </cell>
        </row>
        <row r="896">
          <cell r="D896">
            <v>5432.32</v>
          </cell>
          <cell r="H896">
            <v>13.9</v>
          </cell>
        </row>
        <row r="897">
          <cell r="D897">
            <v>5432.36</v>
          </cell>
          <cell r="H897">
            <v>19.29</v>
          </cell>
        </row>
        <row r="898">
          <cell r="D898">
            <v>5432.46</v>
          </cell>
          <cell r="H898">
            <v>8.34</v>
          </cell>
        </row>
        <row r="899">
          <cell r="D899">
            <v>5432.5</v>
          </cell>
          <cell r="H899">
            <v>32.43</v>
          </cell>
        </row>
        <row r="900">
          <cell r="D900">
            <v>5432.62</v>
          </cell>
          <cell r="H900">
            <v>32.43</v>
          </cell>
        </row>
        <row r="901">
          <cell r="D901">
            <v>5432.74</v>
          </cell>
          <cell r="H901">
            <v>19.05</v>
          </cell>
        </row>
        <row r="902">
          <cell r="D902">
            <v>5432.79</v>
          </cell>
          <cell r="H902">
            <v>8.1</v>
          </cell>
        </row>
        <row r="903">
          <cell r="D903">
            <v>5432.81</v>
          </cell>
          <cell r="H903">
            <v>13.62</v>
          </cell>
        </row>
        <row r="904">
          <cell r="D904">
            <v>5482.32</v>
          </cell>
          <cell r="H904">
            <v>11.96</v>
          </cell>
        </row>
        <row r="905">
          <cell r="D905">
            <v>5482.36</v>
          </cell>
          <cell r="H905">
            <v>17.29</v>
          </cell>
        </row>
        <row r="906">
          <cell r="D906">
            <v>5482.46</v>
          </cell>
          <cell r="H906">
            <v>6.31</v>
          </cell>
        </row>
        <row r="907">
          <cell r="D907">
            <v>5482.5</v>
          </cell>
          <cell r="H907">
            <v>30.96</v>
          </cell>
        </row>
        <row r="908">
          <cell r="D908">
            <v>5482.62</v>
          </cell>
          <cell r="H908">
            <v>31.31</v>
          </cell>
        </row>
        <row r="909">
          <cell r="D909">
            <v>5482.74</v>
          </cell>
          <cell r="H909">
            <v>18.170000000000002</v>
          </cell>
        </row>
        <row r="910">
          <cell r="D910">
            <v>5482.79</v>
          </cell>
          <cell r="H910">
            <v>7.31</v>
          </cell>
        </row>
        <row r="911">
          <cell r="D911">
            <v>5482.81</v>
          </cell>
          <cell r="H911">
            <v>12.8</v>
          </cell>
        </row>
        <row r="912">
          <cell r="D912">
            <v>5532.32</v>
          </cell>
          <cell r="H912">
            <v>17.55</v>
          </cell>
        </row>
        <row r="913">
          <cell r="D913">
            <v>5532.36</v>
          </cell>
          <cell r="H913">
            <v>22.84</v>
          </cell>
        </row>
        <row r="914">
          <cell r="D914">
            <v>5532.46</v>
          </cell>
          <cell r="H914">
            <v>11.86</v>
          </cell>
        </row>
        <row r="915">
          <cell r="D915">
            <v>5532.5</v>
          </cell>
          <cell r="H915">
            <v>36.61</v>
          </cell>
        </row>
        <row r="916">
          <cell r="D916">
            <v>5532.62</v>
          </cell>
          <cell r="H916">
            <v>37.06</v>
          </cell>
        </row>
        <row r="917">
          <cell r="D917">
            <v>5532.74</v>
          </cell>
          <cell r="H917">
            <v>23.45</v>
          </cell>
        </row>
        <row r="918">
          <cell r="D918">
            <v>5532.79</v>
          </cell>
          <cell r="H918">
            <v>12.58</v>
          </cell>
        </row>
        <row r="919">
          <cell r="D919">
            <v>5532.81</v>
          </cell>
          <cell r="H919">
            <v>18.100000000000001</v>
          </cell>
        </row>
        <row r="920">
          <cell r="D920">
            <v>5582.32</v>
          </cell>
          <cell r="H920">
            <v>17.239999999999998</v>
          </cell>
        </row>
        <row r="921">
          <cell r="D921">
            <v>5582.36</v>
          </cell>
          <cell r="H921">
            <v>22.51</v>
          </cell>
        </row>
        <row r="922">
          <cell r="D922">
            <v>5582.46</v>
          </cell>
          <cell r="H922">
            <v>11.52</v>
          </cell>
        </row>
        <row r="923">
          <cell r="D923">
            <v>5582.5</v>
          </cell>
          <cell r="H923">
            <v>36.369999999999997</v>
          </cell>
        </row>
        <row r="924">
          <cell r="D924">
            <v>5582.62</v>
          </cell>
          <cell r="H924">
            <v>36.67</v>
          </cell>
        </row>
        <row r="925">
          <cell r="D925">
            <v>5582.74</v>
          </cell>
          <cell r="H925">
            <v>23.05</v>
          </cell>
        </row>
        <row r="926">
          <cell r="D926">
            <v>5582.79</v>
          </cell>
          <cell r="H926">
            <v>12.21</v>
          </cell>
        </row>
        <row r="927">
          <cell r="D927">
            <v>5582.81</v>
          </cell>
          <cell r="H927">
            <v>17.7</v>
          </cell>
        </row>
        <row r="928">
          <cell r="D928">
            <v>5632.32</v>
          </cell>
          <cell r="H928">
            <v>19.03</v>
          </cell>
        </row>
        <row r="929">
          <cell r="D929">
            <v>5632.36</v>
          </cell>
          <cell r="H929">
            <v>24.3</v>
          </cell>
        </row>
        <row r="930">
          <cell r="D930">
            <v>5632.46</v>
          </cell>
          <cell r="H930">
            <v>13.43</v>
          </cell>
        </row>
        <row r="931">
          <cell r="D931">
            <v>5632.5</v>
          </cell>
          <cell r="H931">
            <v>37.85</v>
          </cell>
        </row>
        <row r="932">
          <cell r="D932">
            <v>5632.62</v>
          </cell>
          <cell r="H932">
            <v>38.020000000000003</v>
          </cell>
        </row>
        <row r="933">
          <cell r="D933">
            <v>5632.74</v>
          </cell>
          <cell r="H933">
            <v>23.79</v>
          </cell>
        </row>
        <row r="934">
          <cell r="D934">
            <v>5632.79</v>
          </cell>
          <cell r="H934">
            <v>12.93</v>
          </cell>
        </row>
        <row r="935">
          <cell r="D935">
            <v>5632.81</v>
          </cell>
          <cell r="H935">
            <v>18.43</v>
          </cell>
        </row>
        <row r="936">
          <cell r="D936">
            <v>5682.32</v>
          </cell>
          <cell r="H936">
            <v>16.36</v>
          </cell>
        </row>
        <row r="937">
          <cell r="D937">
            <v>5682.36</v>
          </cell>
          <cell r="H937">
            <v>21.68</v>
          </cell>
        </row>
        <row r="938">
          <cell r="D938">
            <v>5682.46</v>
          </cell>
          <cell r="H938">
            <v>10.74</v>
          </cell>
        </row>
        <row r="939">
          <cell r="D939">
            <v>5682.5</v>
          </cell>
          <cell r="H939">
            <v>35.229999999999997</v>
          </cell>
        </row>
        <row r="940">
          <cell r="D940">
            <v>5682.62</v>
          </cell>
          <cell r="H940">
            <v>35.270000000000003</v>
          </cell>
        </row>
        <row r="941">
          <cell r="D941">
            <v>5682.74</v>
          </cell>
          <cell r="H941">
            <v>21.41</v>
          </cell>
        </row>
        <row r="942">
          <cell r="D942">
            <v>5682.79</v>
          </cell>
          <cell r="H942">
            <v>10.52</v>
          </cell>
        </row>
        <row r="943">
          <cell r="D943">
            <v>5682.81</v>
          </cell>
          <cell r="H943">
            <v>16.03</v>
          </cell>
        </row>
        <row r="944">
          <cell r="D944">
            <v>5732.32</v>
          </cell>
          <cell r="H944">
            <v>14.48</v>
          </cell>
        </row>
        <row r="945">
          <cell r="D945">
            <v>5732.36</v>
          </cell>
          <cell r="H945">
            <v>19.88</v>
          </cell>
        </row>
        <row r="946">
          <cell r="D946">
            <v>5732.46</v>
          </cell>
          <cell r="H946">
            <v>8.9</v>
          </cell>
        </row>
        <row r="947">
          <cell r="D947">
            <v>5732.5</v>
          </cell>
          <cell r="H947">
            <v>33.4</v>
          </cell>
        </row>
        <row r="948">
          <cell r="D948">
            <v>5732.62</v>
          </cell>
          <cell r="H948">
            <v>33.369999999999997</v>
          </cell>
        </row>
        <row r="949">
          <cell r="D949">
            <v>5732.74</v>
          </cell>
          <cell r="H949">
            <v>19.66</v>
          </cell>
        </row>
        <row r="950">
          <cell r="D950">
            <v>5732.79</v>
          </cell>
          <cell r="H950">
            <v>8.73</v>
          </cell>
        </row>
        <row r="951">
          <cell r="D951">
            <v>5732.81</v>
          </cell>
          <cell r="H951">
            <v>14.23</v>
          </cell>
        </row>
        <row r="952">
          <cell r="D952">
            <v>5778.78</v>
          </cell>
          <cell r="H952">
            <v>35.22</v>
          </cell>
        </row>
        <row r="953">
          <cell r="D953">
            <v>5778.78</v>
          </cell>
          <cell r="H953">
            <v>35.380000000000003</v>
          </cell>
        </row>
        <row r="954">
          <cell r="D954">
            <v>5778.81</v>
          </cell>
          <cell r="H954">
            <v>21.8</v>
          </cell>
        </row>
        <row r="955">
          <cell r="D955">
            <v>5778.89</v>
          </cell>
          <cell r="H955">
            <v>10.84</v>
          </cell>
        </row>
        <row r="956">
          <cell r="D956">
            <v>5778.92</v>
          </cell>
          <cell r="H956">
            <v>16.32</v>
          </cell>
        </row>
        <row r="957">
          <cell r="D957">
            <v>5778.92</v>
          </cell>
          <cell r="H957">
            <v>10.62</v>
          </cell>
        </row>
        <row r="958">
          <cell r="D958">
            <v>5778.97</v>
          </cell>
          <cell r="H958">
            <v>16.13</v>
          </cell>
        </row>
        <row r="959">
          <cell r="D959">
            <v>5778.98</v>
          </cell>
          <cell r="H959">
            <v>21.61</v>
          </cell>
        </row>
        <row r="960">
          <cell r="D960">
            <v>5828.78</v>
          </cell>
          <cell r="H960">
            <v>32.119999999999997</v>
          </cell>
        </row>
        <row r="961">
          <cell r="D961">
            <v>5828.78</v>
          </cell>
          <cell r="H961">
            <v>32.11</v>
          </cell>
        </row>
        <row r="962">
          <cell r="D962">
            <v>5828.81</v>
          </cell>
          <cell r="H962">
            <v>18.29</v>
          </cell>
        </row>
        <row r="963">
          <cell r="D963">
            <v>5828.89</v>
          </cell>
          <cell r="H963">
            <v>7.36</v>
          </cell>
        </row>
        <row r="964">
          <cell r="D964">
            <v>5828.92</v>
          </cell>
          <cell r="H964">
            <v>12.92</v>
          </cell>
        </row>
        <row r="965">
          <cell r="D965">
            <v>5828.92</v>
          </cell>
          <cell r="H965">
            <v>7.4</v>
          </cell>
        </row>
        <row r="966">
          <cell r="D966">
            <v>5828.97</v>
          </cell>
          <cell r="H966">
            <v>12.91</v>
          </cell>
        </row>
        <row r="967">
          <cell r="D967">
            <v>5828.98</v>
          </cell>
          <cell r="H967">
            <v>18.350000000000001</v>
          </cell>
        </row>
        <row r="968">
          <cell r="D968">
            <v>5878.78</v>
          </cell>
          <cell r="H968">
            <v>32.24</v>
          </cell>
        </row>
        <row r="969">
          <cell r="D969">
            <v>5878.78</v>
          </cell>
          <cell r="H969">
            <v>32.29</v>
          </cell>
        </row>
        <row r="970">
          <cell r="D970">
            <v>5878.81</v>
          </cell>
          <cell r="H970">
            <v>18.420000000000002</v>
          </cell>
        </row>
        <row r="971">
          <cell r="D971">
            <v>5878.89</v>
          </cell>
          <cell r="H971">
            <v>7.5</v>
          </cell>
        </row>
        <row r="972">
          <cell r="D972">
            <v>5878.92</v>
          </cell>
          <cell r="H972">
            <v>13.1</v>
          </cell>
        </row>
        <row r="973">
          <cell r="D973">
            <v>5878.92</v>
          </cell>
          <cell r="H973">
            <v>7.4</v>
          </cell>
        </row>
        <row r="974">
          <cell r="D974">
            <v>5878.97</v>
          </cell>
          <cell r="H974">
            <v>12.93</v>
          </cell>
        </row>
        <row r="975">
          <cell r="D975">
            <v>5878.98</v>
          </cell>
          <cell r="H975">
            <v>18.350000000000001</v>
          </cell>
        </row>
        <row r="976">
          <cell r="D976">
            <v>5928.78</v>
          </cell>
          <cell r="H976">
            <v>33.76</v>
          </cell>
        </row>
        <row r="977">
          <cell r="D977">
            <v>5928.78</v>
          </cell>
          <cell r="H977">
            <v>33.700000000000003</v>
          </cell>
        </row>
        <row r="978">
          <cell r="D978">
            <v>5928.81</v>
          </cell>
          <cell r="H978">
            <v>19.899999999999999</v>
          </cell>
        </row>
        <row r="979">
          <cell r="D979">
            <v>5928.89</v>
          </cell>
          <cell r="H979">
            <v>8.98</v>
          </cell>
        </row>
        <row r="980">
          <cell r="D980">
            <v>5928.92</v>
          </cell>
          <cell r="H980">
            <v>14.58</v>
          </cell>
        </row>
        <row r="981">
          <cell r="D981">
            <v>5928.92</v>
          </cell>
          <cell r="H981">
            <v>8.76</v>
          </cell>
        </row>
        <row r="982">
          <cell r="D982">
            <v>5928.97</v>
          </cell>
          <cell r="H982">
            <v>14.42</v>
          </cell>
        </row>
        <row r="983">
          <cell r="D983">
            <v>5928.98</v>
          </cell>
          <cell r="H983">
            <v>19.84</v>
          </cell>
        </row>
        <row r="984">
          <cell r="D984">
            <v>5978.78</v>
          </cell>
          <cell r="H984">
            <v>31.64</v>
          </cell>
        </row>
        <row r="985">
          <cell r="D985">
            <v>5978.78</v>
          </cell>
          <cell r="H985">
            <v>31.52</v>
          </cell>
        </row>
        <row r="986">
          <cell r="D986">
            <v>5978.81</v>
          </cell>
          <cell r="H986">
            <v>17.55</v>
          </cell>
        </row>
        <row r="987">
          <cell r="D987">
            <v>5978.89</v>
          </cell>
          <cell r="H987">
            <v>6.62</v>
          </cell>
        </row>
        <row r="988">
          <cell r="D988">
            <v>5978.92</v>
          </cell>
          <cell r="H988">
            <v>12.22</v>
          </cell>
        </row>
        <row r="989">
          <cell r="D989">
            <v>5978.92</v>
          </cell>
          <cell r="H989">
            <v>6.85</v>
          </cell>
        </row>
        <row r="990">
          <cell r="D990">
            <v>5978.97</v>
          </cell>
          <cell r="H990">
            <v>12.38</v>
          </cell>
        </row>
        <row r="991">
          <cell r="D991">
            <v>5978.98</v>
          </cell>
          <cell r="H991">
            <v>17.79</v>
          </cell>
        </row>
        <row r="992">
          <cell r="D992">
            <v>6028.78</v>
          </cell>
          <cell r="H992">
            <v>32.56</v>
          </cell>
        </row>
        <row r="993">
          <cell r="D993">
            <v>6028.78</v>
          </cell>
          <cell r="H993">
            <v>32.700000000000003</v>
          </cell>
        </row>
        <row r="994">
          <cell r="D994">
            <v>6028.81</v>
          </cell>
          <cell r="H994">
            <v>19.13</v>
          </cell>
        </row>
        <row r="995">
          <cell r="D995">
            <v>6028.89</v>
          </cell>
          <cell r="H995">
            <v>8.2100000000000009</v>
          </cell>
        </row>
        <row r="996">
          <cell r="D996">
            <v>6028.92</v>
          </cell>
          <cell r="H996">
            <v>13.74</v>
          </cell>
        </row>
        <row r="997">
          <cell r="D997">
            <v>6028.92</v>
          </cell>
          <cell r="H997">
            <v>7.63</v>
          </cell>
        </row>
        <row r="998">
          <cell r="D998">
            <v>6028.97</v>
          </cell>
          <cell r="H998">
            <v>13.16</v>
          </cell>
        </row>
        <row r="999">
          <cell r="D999">
            <v>6028.98</v>
          </cell>
          <cell r="H999">
            <v>18.600000000000001</v>
          </cell>
        </row>
        <row r="1000">
          <cell r="D1000">
            <v>6078.78</v>
          </cell>
          <cell r="H1000">
            <v>35.47</v>
          </cell>
        </row>
        <row r="1001">
          <cell r="D1001">
            <v>6078.78</v>
          </cell>
          <cell r="H1001">
            <v>35.64</v>
          </cell>
        </row>
        <row r="1002">
          <cell r="D1002">
            <v>6078.81</v>
          </cell>
          <cell r="H1002">
            <v>22.14</v>
          </cell>
        </row>
        <row r="1003">
          <cell r="D1003">
            <v>6078.89</v>
          </cell>
          <cell r="H1003">
            <v>11.2</v>
          </cell>
        </row>
        <row r="1004">
          <cell r="D1004">
            <v>6078.92</v>
          </cell>
          <cell r="H1004">
            <v>16.670000000000002</v>
          </cell>
        </row>
        <row r="1005">
          <cell r="D1005">
            <v>6078.92</v>
          </cell>
          <cell r="H1005">
            <v>10.84</v>
          </cell>
        </row>
        <row r="1006">
          <cell r="D1006">
            <v>6078.97</v>
          </cell>
          <cell r="H1006">
            <v>16.350000000000001</v>
          </cell>
        </row>
        <row r="1007">
          <cell r="D1007">
            <v>6078.98</v>
          </cell>
          <cell r="H1007">
            <v>21.82</v>
          </cell>
        </row>
        <row r="1008">
          <cell r="D1008">
            <v>6085.38</v>
          </cell>
          <cell r="H1008">
            <v>22.77</v>
          </cell>
        </row>
        <row r="1009">
          <cell r="D1009">
            <v>6085.41</v>
          </cell>
          <cell r="H1009">
            <v>11.81</v>
          </cell>
        </row>
        <row r="1010">
          <cell r="D1010">
            <v>6085.48</v>
          </cell>
          <cell r="H1010">
            <v>17.05</v>
          </cell>
        </row>
        <row r="1011">
          <cell r="D1011">
            <v>6085.48</v>
          </cell>
          <cell r="H1011">
            <v>36.090000000000003</v>
          </cell>
        </row>
        <row r="1012">
          <cell r="D1012">
            <v>6085.48</v>
          </cell>
          <cell r="H1012">
            <v>36.21</v>
          </cell>
        </row>
        <row r="1013">
          <cell r="D1013">
            <v>6085.51</v>
          </cell>
          <cell r="H1013">
            <v>17.29</v>
          </cell>
        </row>
        <row r="1014">
          <cell r="D1014">
            <v>6085.55</v>
          </cell>
          <cell r="H1014">
            <v>22.52</v>
          </cell>
        </row>
        <row r="1015">
          <cell r="D1015">
            <v>6085.57</v>
          </cell>
          <cell r="H1015">
            <v>11.55</v>
          </cell>
        </row>
        <row r="1016">
          <cell r="D1016">
            <v>6135.38</v>
          </cell>
          <cell r="H1016">
            <v>20.57</v>
          </cell>
        </row>
        <row r="1017">
          <cell r="D1017">
            <v>6135.41</v>
          </cell>
          <cell r="H1017">
            <v>9.69</v>
          </cell>
        </row>
        <row r="1018">
          <cell r="D1018">
            <v>6135.48</v>
          </cell>
          <cell r="H1018">
            <v>14.65</v>
          </cell>
        </row>
        <row r="1019">
          <cell r="D1019">
            <v>6135.48</v>
          </cell>
          <cell r="H1019">
            <v>34.21</v>
          </cell>
        </row>
        <row r="1020">
          <cell r="D1020">
            <v>6135.48</v>
          </cell>
          <cell r="H1020">
            <v>34.06</v>
          </cell>
        </row>
        <row r="1021">
          <cell r="D1021">
            <v>6135.51</v>
          </cell>
          <cell r="H1021">
            <v>15.21</v>
          </cell>
        </row>
        <row r="1022">
          <cell r="D1022">
            <v>6135.55</v>
          </cell>
          <cell r="H1022">
            <v>20.11</v>
          </cell>
        </row>
        <row r="1023">
          <cell r="D1023">
            <v>6135.57</v>
          </cell>
          <cell r="H1023">
            <v>9.15</v>
          </cell>
        </row>
        <row r="1024">
          <cell r="D1024">
            <v>6185.38</v>
          </cell>
          <cell r="H1024">
            <v>18.55</v>
          </cell>
        </row>
        <row r="1025">
          <cell r="D1025">
            <v>6185.41</v>
          </cell>
          <cell r="H1025">
            <v>7.67</v>
          </cell>
        </row>
        <row r="1026">
          <cell r="D1026">
            <v>6185.48</v>
          </cell>
          <cell r="H1026">
            <v>12.29</v>
          </cell>
        </row>
        <row r="1027">
          <cell r="D1027">
            <v>6185.48</v>
          </cell>
          <cell r="H1027">
            <v>32.06</v>
          </cell>
        </row>
        <row r="1028">
          <cell r="D1028">
            <v>6185.48</v>
          </cell>
          <cell r="H1028">
            <v>31.81</v>
          </cell>
        </row>
        <row r="1029">
          <cell r="D1029">
            <v>6185.51</v>
          </cell>
          <cell r="H1029">
            <v>13.27</v>
          </cell>
        </row>
        <row r="1030">
          <cell r="D1030">
            <v>6185.55</v>
          </cell>
          <cell r="H1030">
            <v>17.73</v>
          </cell>
        </row>
        <row r="1031">
          <cell r="D1031">
            <v>6185.57</v>
          </cell>
          <cell r="H1031">
            <v>6.79</v>
          </cell>
        </row>
        <row r="1032">
          <cell r="D1032">
            <v>6235.38</v>
          </cell>
          <cell r="H1032">
            <v>17.11</v>
          </cell>
        </row>
        <row r="1033">
          <cell r="D1033">
            <v>6235.41</v>
          </cell>
          <cell r="H1033">
            <v>6.2</v>
          </cell>
        </row>
        <row r="1034">
          <cell r="D1034">
            <v>6235.48</v>
          </cell>
          <cell r="H1034">
            <v>11.58</v>
          </cell>
        </row>
        <row r="1035">
          <cell r="D1035">
            <v>6235.48</v>
          </cell>
          <cell r="H1035">
            <v>30.96</v>
          </cell>
        </row>
        <row r="1036">
          <cell r="D1036">
            <v>6235.48</v>
          </cell>
          <cell r="H1036">
            <v>30.96</v>
          </cell>
        </row>
        <row r="1037">
          <cell r="D1037">
            <v>6235.51</v>
          </cell>
          <cell r="H1037">
            <v>11.86</v>
          </cell>
        </row>
        <row r="1038">
          <cell r="D1038">
            <v>6235.55</v>
          </cell>
          <cell r="H1038">
            <v>17.03</v>
          </cell>
        </row>
        <row r="1039">
          <cell r="D1039">
            <v>6235.57</v>
          </cell>
          <cell r="H1039">
            <v>6.08</v>
          </cell>
        </row>
        <row r="1040">
          <cell r="D1040">
            <v>6285.38</v>
          </cell>
          <cell r="H1040">
            <v>19.79</v>
          </cell>
        </row>
        <row r="1041">
          <cell r="D1041">
            <v>6285.41</v>
          </cell>
          <cell r="H1041">
            <v>8.86</v>
          </cell>
        </row>
        <row r="1042">
          <cell r="D1042">
            <v>6285.48</v>
          </cell>
          <cell r="H1042">
            <v>14.01</v>
          </cell>
        </row>
        <row r="1043">
          <cell r="D1043">
            <v>6285.48</v>
          </cell>
          <cell r="H1043">
            <v>33.51</v>
          </cell>
        </row>
        <row r="1044">
          <cell r="D1044">
            <v>6285.48</v>
          </cell>
          <cell r="H1044">
            <v>33.44</v>
          </cell>
        </row>
        <row r="1045">
          <cell r="D1045">
            <v>6285.51</v>
          </cell>
          <cell r="H1045">
            <v>14.54</v>
          </cell>
        </row>
        <row r="1046">
          <cell r="D1046">
            <v>6285.55</v>
          </cell>
          <cell r="H1046">
            <v>19.48</v>
          </cell>
        </row>
        <row r="1047">
          <cell r="D1047">
            <v>6285.57</v>
          </cell>
          <cell r="H1047">
            <v>8.5299999999999994</v>
          </cell>
        </row>
        <row r="1048">
          <cell r="D1048">
            <v>6335.38</v>
          </cell>
          <cell r="H1048">
            <v>27.27</v>
          </cell>
        </row>
        <row r="1049">
          <cell r="D1049">
            <v>6335.41</v>
          </cell>
          <cell r="H1049">
            <v>16.329999999999998</v>
          </cell>
        </row>
        <row r="1050">
          <cell r="D1050">
            <v>6335.48</v>
          </cell>
          <cell r="H1050">
            <v>21.47</v>
          </cell>
        </row>
        <row r="1051">
          <cell r="D1051">
            <v>6335.48</v>
          </cell>
          <cell r="H1051">
            <v>41.09</v>
          </cell>
        </row>
        <row r="1052">
          <cell r="D1052">
            <v>6335.48</v>
          </cell>
          <cell r="H1052">
            <v>41.23</v>
          </cell>
        </row>
        <row r="1053">
          <cell r="D1053">
            <v>6335.51</v>
          </cell>
          <cell r="H1053">
            <v>21.93</v>
          </cell>
        </row>
        <row r="1054">
          <cell r="D1054">
            <v>6335.55</v>
          </cell>
          <cell r="H1054">
            <v>26.94</v>
          </cell>
        </row>
        <row r="1055">
          <cell r="D1055">
            <v>6335.57</v>
          </cell>
          <cell r="H1055">
            <v>15.99</v>
          </cell>
        </row>
        <row r="1056">
          <cell r="D1056">
            <v>6382.35</v>
          </cell>
          <cell r="H1056">
            <v>22.72</v>
          </cell>
        </row>
        <row r="1057">
          <cell r="D1057">
            <v>6382.37</v>
          </cell>
          <cell r="H1057">
            <v>28.17</v>
          </cell>
        </row>
        <row r="1058">
          <cell r="D1058">
            <v>6382.38</v>
          </cell>
          <cell r="H1058">
            <v>27.57</v>
          </cell>
        </row>
        <row r="1059">
          <cell r="D1059">
            <v>6382.39</v>
          </cell>
          <cell r="H1059">
            <v>22.04</v>
          </cell>
        </row>
        <row r="1060">
          <cell r="D1060">
            <v>6382.39</v>
          </cell>
          <cell r="H1060">
            <v>33.65</v>
          </cell>
        </row>
        <row r="1061">
          <cell r="D1061">
            <v>6382.4</v>
          </cell>
          <cell r="H1061">
            <v>33.049999999999997</v>
          </cell>
        </row>
        <row r="1062">
          <cell r="D1062">
            <v>6382.47</v>
          </cell>
          <cell r="H1062">
            <v>47.01</v>
          </cell>
        </row>
        <row r="1063">
          <cell r="D1063">
            <v>6382.47</v>
          </cell>
          <cell r="H1063">
            <v>46.72</v>
          </cell>
        </row>
        <row r="1064">
          <cell r="D1064">
            <v>6432.35</v>
          </cell>
          <cell r="H1064">
            <v>18.45</v>
          </cell>
        </row>
        <row r="1065">
          <cell r="D1065">
            <v>6432.37</v>
          </cell>
          <cell r="H1065">
            <v>24.07</v>
          </cell>
        </row>
        <row r="1066">
          <cell r="D1066">
            <v>6432.38</v>
          </cell>
          <cell r="H1066">
            <v>22.68</v>
          </cell>
        </row>
        <row r="1067">
          <cell r="D1067">
            <v>6432.39</v>
          </cell>
          <cell r="H1067">
            <v>17.14</v>
          </cell>
        </row>
        <row r="1068">
          <cell r="D1068">
            <v>6432.39</v>
          </cell>
          <cell r="H1068">
            <v>29.39</v>
          </cell>
        </row>
        <row r="1069">
          <cell r="D1069">
            <v>6432.4</v>
          </cell>
          <cell r="H1069">
            <v>28.14</v>
          </cell>
        </row>
        <row r="1070">
          <cell r="D1070">
            <v>6432.47</v>
          </cell>
          <cell r="H1070">
            <v>42.22</v>
          </cell>
        </row>
        <row r="1071">
          <cell r="D1071">
            <v>6432.47</v>
          </cell>
          <cell r="H1071">
            <v>42.63</v>
          </cell>
        </row>
        <row r="1072">
          <cell r="D1072">
            <v>6482.35</v>
          </cell>
          <cell r="H1072">
            <v>14.73</v>
          </cell>
        </row>
        <row r="1073">
          <cell r="D1073">
            <v>6482.37</v>
          </cell>
          <cell r="H1073">
            <v>20.39</v>
          </cell>
        </row>
        <row r="1074">
          <cell r="D1074">
            <v>6482.38</v>
          </cell>
          <cell r="H1074">
            <v>19.13</v>
          </cell>
        </row>
        <row r="1075">
          <cell r="D1075">
            <v>6482.39</v>
          </cell>
          <cell r="H1075">
            <v>13.62</v>
          </cell>
        </row>
        <row r="1076">
          <cell r="D1076">
            <v>6482.39</v>
          </cell>
          <cell r="H1076">
            <v>25.6</v>
          </cell>
        </row>
        <row r="1077">
          <cell r="D1077">
            <v>6482.4</v>
          </cell>
          <cell r="H1077">
            <v>24.58</v>
          </cell>
        </row>
        <row r="1078">
          <cell r="D1078">
            <v>6482.47</v>
          </cell>
          <cell r="H1078">
            <v>38.43</v>
          </cell>
        </row>
        <row r="1079">
          <cell r="D1079">
            <v>6482.47</v>
          </cell>
          <cell r="H1079">
            <v>38.630000000000003</v>
          </cell>
        </row>
        <row r="1080">
          <cell r="D1080">
            <v>6532.35</v>
          </cell>
          <cell r="H1080">
            <v>9.75</v>
          </cell>
        </row>
        <row r="1081">
          <cell r="D1081">
            <v>6532.37</v>
          </cell>
          <cell r="H1081">
            <v>15.5</v>
          </cell>
        </row>
        <row r="1082">
          <cell r="D1082">
            <v>6532.38</v>
          </cell>
          <cell r="H1082">
            <v>15.28</v>
          </cell>
        </row>
        <row r="1083">
          <cell r="D1083">
            <v>6532.39</v>
          </cell>
          <cell r="H1083">
            <v>9.81</v>
          </cell>
        </row>
        <row r="1084">
          <cell r="D1084">
            <v>6532.39</v>
          </cell>
          <cell r="H1084">
            <v>20.66</v>
          </cell>
        </row>
        <row r="1085">
          <cell r="D1085">
            <v>6532.4</v>
          </cell>
          <cell r="H1085">
            <v>20.72</v>
          </cell>
        </row>
        <row r="1086">
          <cell r="D1086">
            <v>6532.47</v>
          </cell>
          <cell r="H1086">
            <v>34.22</v>
          </cell>
        </row>
        <row r="1087">
          <cell r="D1087">
            <v>6532.47</v>
          </cell>
          <cell r="H1087">
            <v>34.090000000000003</v>
          </cell>
        </row>
        <row r="1088">
          <cell r="D1088">
            <v>6582.35</v>
          </cell>
          <cell r="H1088">
            <v>10.119999999999999</v>
          </cell>
        </row>
        <row r="1089">
          <cell r="D1089">
            <v>6582.37</v>
          </cell>
          <cell r="H1089">
            <v>15.9</v>
          </cell>
        </row>
        <row r="1090">
          <cell r="D1090">
            <v>6582.38</v>
          </cell>
          <cell r="H1090">
            <v>15.99</v>
          </cell>
        </row>
        <row r="1091">
          <cell r="D1091">
            <v>6582.39</v>
          </cell>
          <cell r="H1091">
            <v>10.51</v>
          </cell>
        </row>
        <row r="1092">
          <cell r="D1092">
            <v>6582.39</v>
          </cell>
          <cell r="H1092">
            <v>21.05</v>
          </cell>
        </row>
        <row r="1093">
          <cell r="D1093">
            <v>6582.4</v>
          </cell>
          <cell r="H1093">
            <v>21.42</v>
          </cell>
        </row>
        <row r="1094">
          <cell r="D1094">
            <v>6582.47</v>
          </cell>
          <cell r="H1094">
            <v>34.92</v>
          </cell>
        </row>
        <row r="1095">
          <cell r="D1095">
            <v>6582.47</v>
          </cell>
          <cell r="H1095">
            <v>34.65</v>
          </cell>
        </row>
        <row r="1096">
          <cell r="D1096">
            <v>6632.35</v>
          </cell>
          <cell r="H1096">
            <v>9.93</v>
          </cell>
        </row>
        <row r="1097">
          <cell r="D1097">
            <v>6632.37</v>
          </cell>
          <cell r="H1097">
            <v>15.68</v>
          </cell>
        </row>
        <row r="1098">
          <cell r="D1098">
            <v>6632.38</v>
          </cell>
          <cell r="H1098">
            <v>16.05</v>
          </cell>
        </row>
        <row r="1099">
          <cell r="D1099">
            <v>6632.39</v>
          </cell>
          <cell r="H1099">
            <v>10.57</v>
          </cell>
        </row>
        <row r="1100">
          <cell r="D1100">
            <v>6632.39</v>
          </cell>
          <cell r="H1100">
            <v>20.87</v>
          </cell>
        </row>
        <row r="1101">
          <cell r="D1101">
            <v>6632.4</v>
          </cell>
          <cell r="H1101">
            <v>21.49</v>
          </cell>
        </row>
        <row r="1102">
          <cell r="D1102">
            <v>6632.47</v>
          </cell>
          <cell r="H1102">
            <v>34.770000000000003</v>
          </cell>
        </row>
        <row r="1103">
          <cell r="D1103">
            <v>6632.47</v>
          </cell>
          <cell r="H1103">
            <v>34.479999999999997</v>
          </cell>
        </row>
        <row r="1104">
          <cell r="D1104">
            <v>6682.35</v>
          </cell>
          <cell r="H1104">
            <v>10.81</v>
          </cell>
        </row>
        <row r="1105">
          <cell r="D1105">
            <v>6682.37</v>
          </cell>
          <cell r="H1105">
            <v>16.510000000000002</v>
          </cell>
        </row>
        <row r="1106">
          <cell r="D1106">
            <v>6682.38</v>
          </cell>
          <cell r="H1106">
            <v>16.690000000000001</v>
          </cell>
        </row>
        <row r="1107">
          <cell r="D1107">
            <v>6682.39</v>
          </cell>
          <cell r="H1107">
            <v>11.21</v>
          </cell>
        </row>
        <row r="1108">
          <cell r="D1108">
            <v>6682.39</v>
          </cell>
          <cell r="H1108">
            <v>21.78</v>
          </cell>
        </row>
        <row r="1109">
          <cell r="D1109">
            <v>6682.4</v>
          </cell>
          <cell r="H1109">
            <v>22.13</v>
          </cell>
        </row>
        <row r="1110">
          <cell r="D1110">
            <v>6682.47</v>
          </cell>
          <cell r="H1110">
            <v>35.5</v>
          </cell>
        </row>
        <row r="1111">
          <cell r="D1111">
            <v>6682.47</v>
          </cell>
          <cell r="H1111">
            <v>35.4</v>
          </cell>
        </row>
        <row r="1112">
          <cell r="D1112">
            <v>6732.35</v>
          </cell>
          <cell r="H1112">
            <v>14.47</v>
          </cell>
        </row>
        <row r="1113">
          <cell r="D1113">
            <v>6732.37</v>
          </cell>
          <cell r="H1113">
            <v>20.02</v>
          </cell>
        </row>
        <row r="1114">
          <cell r="D1114">
            <v>6732.38</v>
          </cell>
          <cell r="H1114">
            <v>19.920000000000002</v>
          </cell>
        </row>
        <row r="1115">
          <cell r="D1115">
            <v>6732.39</v>
          </cell>
          <cell r="H1115">
            <v>14.4</v>
          </cell>
        </row>
        <row r="1116">
          <cell r="D1116">
            <v>6732.39</v>
          </cell>
          <cell r="H1116">
            <v>25.42</v>
          </cell>
        </row>
        <row r="1117">
          <cell r="D1117">
            <v>6732.4</v>
          </cell>
          <cell r="H1117">
            <v>25.37</v>
          </cell>
        </row>
        <row r="1118">
          <cell r="D1118">
            <v>6732.47</v>
          </cell>
          <cell r="H1118">
            <v>38.979999999999997</v>
          </cell>
        </row>
        <row r="1119">
          <cell r="D1119">
            <v>6732.47</v>
          </cell>
          <cell r="H1119">
            <v>38.94</v>
          </cell>
        </row>
        <row r="1120">
          <cell r="D1120">
            <v>6757.04</v>
          </cell>
          <cell r="H1120">
            <v>21.71</v>
          </cell>
        </row>
        <row r="1121">
          <cell r="D1121">
            <v>6757.12</v>
          </cell>
          <cell r="H1121">
            <v>27.18</v>
          </cell>
        </row>
        <row r="1122">
          <cell r="D1122">
            <v>6757.17</v>
          </cell>
          <cell r="H1122">
            <v>16.21</v>
          </cell>
        </row>
        <row r="1123">
          <cell r="D1123">
            <v>6757.25</v>
          </cell>
          <cell r="H1123">
            <v>27.61</v>
          </cell>
        </row>
        <row r="1124">
          <cell r="D1124">
            <v>6757.25</v>
          </cell>
          <cell r="H1124">
            <v>16.670000000000002</v>
          </cell>
        </row>
        <row r="1125">
          <cell r="D1125">
            <v>6757.33</v>
          </cell>
          <cell r="H1125">
            <v>22.13</v>
          </cell>
        </row>
        <row r="1126">
          <cell r="D1126">
            <v>6757.42</v>
          </cell>
          <cell r="H1126">
            <v>40.93</v>
          </cell>
        </row>
        <row r="1127">
          <cell r="D1127">
            <v>6757.42</v>
          </cell>
          <cell r="H1127">
            <v>41.07</v>
          </cell>
        </row>
        <row r="1128">
          <cell r="D1128">
            <v>6807.04</v>
          </cell>
          <cell r="H1128">
            <v>18.02</v>
          </cell>
        </row>
        <row r="1129">
          <cell r="D1129">
            <v>6807.12</v>
          </cell>
          <cell r="H1129">
            <v>23.56</v>
          </cell>
        </row>
        <row r="1130">
          <cell r="D1130">
            <v>6807.17</v>
          </cell>
          <cell r="H1130">
            <v>12.53</v>
          </cell>
        </row>
        <row r="1131">
          <cell r="D1131">
            <v>6807.25</v>
          </cell>
          <cell r="H1131">
            <v>23.07</v>
          </cell>
        </row>
        <row r="1132">
          <cell r="D1132">
            <v>6807.25</v>
          </cell>
          <cell r="H1132">
            <v>11.99</v>
          </cell>
        </row>
        <row r="1133">
          <cell r="D1133">
            <v>6807.33</v>
          </cell>
          <cell r="H1133">
            <v>17.690000000000001</v>
          </cell>
        </row>
        <row r="1134">
          <cell r="D1134">
            <v>6807.42</v>
          </cell>
          <cell r="H1134">
            <v>36.99</v>
          </cell>
        </row>
        <row r="1135">
          <cell r="D1135">
            <v>6807.42</v>
          </cell>
          <cell r="H1135">
            <v>36.79</v>
          </cell>
        </row>
        <row r="1136">
          <cell r="D1136">
            <v>6857.04</v>
          </cell>
          <cell r="H1136">
            <v>14.35</v>
          </cell>
        </row>
        <row r="1137">
          <cell r="D1137">
            <v>6857.12</v>
          </cell>
          <cell r="H1137">
            <v>19.98</v>
          </cell>
        </row>
        <row r="1138">
          <cell r="D1138">
            <v>6857.17</v>
          </cell>
          <cell r="H1138">
            <v>8.8000000000000007</v>
          </cell>
        </row>
        <row r="1139">
          <cell r="D1139">
            <v>6857.25</v>
          </cell>
          <cell r="H1139">
            <v>20.16</v>
          </cell>
        </row>
        <row r="1140">
          <cell r="D1140">
            <v>6857.25</v>
          </cell>
          <cell r="H1140">
            <v>8.9600000000000009</v>
          </cell>
        </row>
        <row r="1141">
          <cell r="D1141">
            <v>6857.33</v>
          </cell>
          <cell r="H1141">
            <v>14.83</v>
          </cell>
        </row>
        <row r="1142">
          <cell r="D1142">
            <v>6857.42</v>
          </cell>
          <cell r="H1142">
            <v>33.659999999999997</v>
          </cell>
        </row>
        <row r="1143">
          <cell r="D1143">
            <v>6857.42</v>
          </cell>
          <cell r="H1143">
            <v>33.659999999999997</v>
          </cell>
        </row>
        <row r="1144">
          <cell r="D1144">
            <v>6907.04</v>
          </cell>
          <cell r="H1144">
            <v>14.06</v>
          </cell>
        </row>
        <row r="1145">
          <cell r="D1145">
            <v>6907.12</v>
          </cell>
          <cell r="H1145">
            <v>19.760000000000002</v>
          </cell>
        </row>
        <row r="1146">
          <cell r="D1146">
            <v>6907.17</v>
          </cell>
          <cell r="H1146">
            <v>8.48</v>
          </cell>
        </row>
        <row r="1147">
          <cell r="D1147">
            <v>6907.25</v>
          </cell>
          <cell r="H1147">
            <v>19.3</v>
          </cell>
        </row>
        <row r="1148">
          <cell r="D1148">
            <v>6907.25</v>
          </cell>
          <cell r="H1148">
            <v>7.96</v>
          </cell>
        </row>
        <row r="1149">
          <cell r="D1149">
            <v>6907.33</v>
          </cell>
          <cell r="H1149">
            <v>13.95</v>
          </cell>
        </row>
        <row r="1150">
          <cell r="D1150">
            <v>6907.42</v>
          </cell>
          <cell r="H1150">
            <v>33.11</v>
          </cell>
        </row>
        <row r="1151">
          <cell r="D1151">
            <v>6907.42</v>
          </cell>
          <cell r="H1151">
            <v>32.89</v>
          </cell>
        </row>
        <row r="1152">
          <cell r="D1152">
            <v>6957.04</v>
          </cell>
          <cell r="H1152">
            <v>14.36</v>
          </cell>
        </row>
        <row r="1153">
          <cell r="D1153">
            <v>6957.12</v>
          </cell>
          <cell r="H1153">
            <v>20.13</v>
          </cell>
        </row>
        <row r="1154">
          <cell r="D1154">
            <v>6957.17</v>
          </cell>
          <cell r="H1154">
            <v>8.75</v>
          </cell>
        </row>
        <row r="1155">
          <cell r="D1155">
            <v>6957.25</v>
          </cell>
          <cell r="H1155">
            <v>19.53</v>
          </cell>
        </row>
        <row r="1156">
          <cell r="D1156">
            <v>6957.25</v>
          </cell>
          <cell r="H1156">
            <v>8.0299999999999994</v>
          </cell>
        </row>
        <row r="1157">
          <cell r="D1157">
            <v>6957.33</v>
          </cell>
          <cell r="H1157">
            <v>14.11</v>
          </cell>
        </row>
        <row r="1158">
          <cell r="D1158">
            <v>6957.42</v>
          </cell>
          <cell r="H1158">
            <v>33.4</v>
          </cell>
        </row>
        <row r="1159">
          <cell r="D1159">
            <v>6957.42</v>
          </cell>
          <cell r="H1159">
            <v>33.07</v>
          </cell>
        </row>
        <row r="1160">
          <cell r="D1160">
            <v>7007.04</v>
          </cell>
          <cell r="H1160">
            <v>15.48</v>
          </cell>
        </row>
        <row r="1161">
          <cell r="D1161">
            <v>7007.12</v>
          </cell>
          <cell r="H1161">
            <v>21.33</v>
          </cell>
        </row>
        <row r="1162">
          <cell r="D1162">
            <v>7007.17</v>
          </cell>
          <cell r="H1162">
            <v>9.76</v>
          </cell>
        </row>
        <row r="1163">
          <cell r="D1163">
            <v>7007.25</v>
          </cell>
          <cell r="H1163">
            <v>20.89</v>
          </cell>
        </row>
        <row r="1164">
          <cell r="D1164">
            <v>7007.25</v>
          </cell>
          <cell r="H1164">
            <v>9.26</v>
          </cell>
        </row>
        <row r="1165">
          <cell r="D1165">
            <v>7007.33</v>
          </cell>
          <cell r="H1165">
            <v>15.33</v>
          </cell>
        </row>
        <row r="1166">
          <cell r="D1166">
            <v>7007.42</v>
          </cell>
          <cell r="H1166">
            <v>34.39</v>
          </cell>
        </row>
        <row r="1167">
          <cell r="D1167">
            <v>7007.42</v>
          </cell>
          <cell r="H1167">
            <v>34.53</v>
          </cell>
        </row>
        <row r="1168">
          <cell r="D1168">
            <v>7057.04</v>
          </cell>
          <cell r="H1168">
            <v>18.239999999999998</v>
          </cell>
        </row>
        <row r="1169">
          <cell r="D1169">
            <v>7057.12</v>
          </cell>
          <cell r="H1169">
            <v>24.14</v>
          </cell>
        </row>
        <row r="1170">
          <cell r="D1170">
            <v>7057.17</v>
          </cell>
          <cell r="H1170">
            <v>12.4</v>
          </cell>
        </row>
        <row r="1171">
          <cell r="D1171">
            <v>7057.25</v>
          </cell>
          <cell r="H1171">
            <v>23.82</v>
          </cell>
        </row>
        <row r="1172">
          <cell r="D1172">
            <v>7057.25</v>
          </cell>
          <cell r="H1172">
            <v>12.05</v>
          </cell>
        </row>
        <row r="1173">
          <cell r="D1173">
            <v>7057.33</v>
          </cell>
          <cell r="H1173">
            <v>18.079999999999998</v>
          </cell>
        </row>
        <row r="1174">
          <cell r="D1174">
            <v>7057.42</v>
          </cell>
          <cell r="H1174">
            <v>37.19</v>
          </cell>
        </row>
        <row r="1175">
          <cell r="D1175">
            <v>7057.42</v>
          </cell>
          <cell r="H1175">
            <v>37.299999999999997</v>
          </cell>
        </row>
        <row r="1176">
          <cell r="D1176">
            <v>7095.57</v>
          </cell>
          <cell r="H1176">
            <v>40.19</v>
          </cell>
        </row>
        <row r="1177">
          <cell r="D1177">
            <v>7095.95</v>
          </cell>
          <cell r="H1177">
            <v>40.19</v>
          </cell>
        </row>
        <row r="1178">
          <cell r="D1178">
            <v>7097.18</v>
          </cell>
          <cell r="H1178">
            <v>14.83</v>
          </cell>
        </row>
        <row r="1179">
          <cell r="D1179">
            <v>7097.31</v>
          </cell>
          <cell r="H1179">
            <v>20.78</v>
          </cell>
        </row>
        <row r="1180">
          <cell r="D1180">
            <v>7097.35</v>
          </cell>
          <cell r="H1180">
            <v>26.7</v>
          </cell>
        </row>
        <row r="1181">
          <cell r="D1181">
            <v>7099.04</v>
          </cell>
          <cell r="H1181">
            <v>26.67</v>
          </cell>
        </row>
        <row r="1182">
          <cell r="D1182">
            <v>7099.08</v>
          </cell>
          <cell r="H1182">
            <v>20.73</v>
          </cell>
        </row>
        <row r="1183">
          <cell r="D1183">
            <v>7099.17</v>
          </cell>
          <cell r="H1183">
            <v>14.79</v>
          </cell>
        </row>
        <row r="1184">
          <cell r="D1184">
            <v>7145.3</v>
          </cell>
          <cell r="H1184">
            <v>37.119999999999997</v>
          </cell>
        </row>
        <row r="1185">
          <cell r="D1185">
            <v>7145.95</v>
          </cell>
          <cell r="H1185">
            <v>37.01</v>
          </cell>
        </row>
        <row r="1186">
          <cell r="D1186">
            <v>7147.18</v>
          </cell>
          <cell r="H1186">
            <v>12.79</v>
          </cell>
        </row>
        <row r="1187">
          <cell r="D1187">
            <v>7147.31</v>
          </cell>
          <cell r="H1187">
            <v>18.5</v>
          </cell>
        </row>
        <row r="1188">
          <cell r="D1188">
            <v>7147.35</v>
          </cell>
          <cell r="H1188">
            <v>24.25</v>
          </cell>
        </row>
        <row r="1189">
          <cell r="D1189">
            <v>7149.04</v>
          </cell>
          <cell r="H1189">
            <v>23.14</v>
          </cell>
        </row>
        <row r="1190">
          <cell r="D1190">
            <v>7149.08</v>
          </cell>
          <cell r="H1190">
            <v>17.38</v>
          </cell>
        </row>
        <row r="1191">
          <cell r="D1191">
            <v>7149.17</v>
          </cell>
          <cell r="H1191">
            <v>11.58</v>
          </cell>
        </row>
        <row r="1192">
          <cell r="D1192">
            <v>7195.3</v>
          </cell>
          <cell r="H1192">
            <v>34.200000000000003</v>
          </cell>
        </row>
        <row r="1193">
          <cell r="D1193">
            <v>7195.95</v>
          </cell>
          <cell r="H1193">
            <v>34.15</v>
          </cell>
        </row>
        <row r="1194">
          <cell r="D1194">
            <v>7197.18</v>
          </cell>
          <cell r="H1194">
            <v>8.84</v>
          </cell>
        </row>
        <row r="1195">
          <cell r="D1195">
            <v>7197.31</v>
          </cell>
          <cell r="H1195">
            <v>14.6</v>
          </cell>
        </row>
        <row r="1196">
          <cell r="D1196">
            <v>7197.35</v>
          </cell>
          <cell r="H1196">
            <v>20.27</v>
          </cell>
        </row>
        <row r="1197">
          <cell r="D1197">
            <v>7199.04</v>
          </cell>
          <cell r="H1197">
            <v>20.149999999999999</v>
          </cell>
        </row>
        <row r="1198">
          <cell r="D1198">
            <v>7199.08</v>
          </cell>
          <cell r="H1198">
            <v>14.53</v>
          </cell>
        </row>
        <row r="1199">
          <cell r="D1199">
            <v>7199.17</v>
          </cell>
          <cell r="H1199">
            <v>8.85</v>
          </cell>
        </row>
        <row r="1200">
          <cell r="D1200">
            <v>7245.3</v>
          </cell>
          <cell r="H1200">
            <v>32.659999999999997</v>
          </cell>
        </row>
        <row r="1201">
          <cell r="D1201">
            <v>7245.95</v>
          </cell>
          <cell r="H1201">
            <v>32.659999999999997</v>
          </cell>
        </row>
        <row r="1202">
          <cell r="D1202">
            <v>7247.18</v>
          </cell>
          <cell r="H1202">
            <v>8.0500000000000007</v>
          </cell>
        </row>
        <row r="1203">
          <cell r="D1203">
            <v>7247.31</v>
          </cell>
          <cell r="H1203">
            <v>13.68</v>
          </cell>
        </row>
        <row r="1204">
          <cell r="D1204">
            <v>7247.35</v>
          </cell>
          <cell r="H1204">
            <v>19.239999999999998</v>
          </cell>
        </row>
        <row r="1205">
          <cell r="D1205">
            <v>7249.04</v>
          </cell>
          <cell r="H1205">
            <v>18.670000000000002</v>
          </cell>
        </row>
        <row r="1206">
          <cell r="D1206">
            <v>7249.08</v>
          </cell>
          <cell r="H1206">
            <v>13.16</v>
          </cell>
        </row>
        <row r="1207">
          <cell r="D1207">
            <v>7249.17</v>
          </cell>
          <cell r="H1207">
            <v>7.56</v>
          </cell>
        </row>
        <row r="1208">
          <cell r="D1208">
            <v>7295.3</v>
          </cell>
          <cell r="H1208">
            <v>32.94</v>
          </cell>
        </row>
        <row r="1209">
          <cell r="D1209">
            <v>7295.95</v>
          </cell>
          <cell r="H1209">
            <v>32.979999999999997</v>
          </cell>
        </row>
        <row r="1210">
          <cell r="D1210">
            <v>7297.18</v>
          </cell>
          <cell r="H1210">
            <v>7.94</v>
          </cell>
        </row>
        <row r="1211">
          <cell r="D1211">
            <v>7297.31</v>
          </cell>
          <cell r="H1211">
            <v>13.57</v>
          </cell>
        </row>
        <row r="1212">
          <cell r="D1212">
            <v>7297.35</v>
          </cell>
          <cell r="H1212">
            <v>19.09</v>
          </cell>
        </row>
        <row r="1213">
          <cell r="D1213">
            <v>7299.04</v>
          </cell>
          <cell r="H1213">
            <v>19.07</v>
          </cell>
        </row>
        <row r="1214">
          <cell r="D1214">
            <v>7299.08</v>
          </cell>
          <cell r="H1214">
            <v>13.61</v>
          </cell>
        </row>
        <row r="1215">
          <cell r="D1215">
            <v>7299.17</v>
          </cell>
          <cell r="H1215">
            <v>8.07</v>
          </cell>
        </row>
        <row r="1216">
          <cell r="D1216">
            <v>7345.3</v>
          </cell>
          <cell r="H1216">
            <v>34.979999999999997</v>
          </cell>
        </row>
        <row r="1217">
          <cell r="D1217">
            <v>7345.95</v>
          </cell>
          <cell r="H1217">
            <v>35.03</v>
          </cell>
        </row>
        <row r="1218">
          <cell r="D1218">
            <v>7347.18</v>
          </cell>
          <cell r="H1218">
            <v>10.28</v>
          </cell>
        </row>
        <row r="1219">
          <cell r="D1219">
            <v>7347.31</v>
          </cell>
          <cell r="H1219">
            <v>15.85</v>
          </cell>
        </row>
        <row r="1220">
          <cell r="D1220">
            <v>7347.35</v>
          </cell>
          <cell r="H1220">
            <v>21.33</v>
          </cell>
        </row>
        <row r="1221">
          <cell r="D1221">
            <v>7349.04</v>
          </cell>
          <cell r="H1221">
            <v>21.2</v>
          </cell>
        </row>
        <row r="1222">
          <cell r="D1222">
            <v>7349.08</v>
          </cell>
          <cell r="H1222">
            <v>15.77</v>
          </cell>
        </row>
        <row r="1223">
          <cell r="D1223">
            <v>7349.17</v>
          </cell>
          <cell r="H1223">
            <v>10.3</v>
          </cell>
        </row>
        <row r="1224">
          <cell r="D1224">
            <v>7395.3</v>
          </cell>
          <cell r="H1224">
            <v>38.299999999999997</v>
          </cell>
        </row>
        <row r="1225">
          <cell r="D1225">
            <v>7395.95</v>
          </cell>
          <cell r="H1225">
            <v>38.46</v>
          </cell>
        </row>
        <row r="1226">
          <cell r="D1226">
            <v>7397.18</v>
          </cell>
          <cell r="H1226">
            <v>13.84</v>
          </cell>
        </row>
        <row r="1227">
          <cell r="D1227">
            <v>7397.31</v>
          </cell>
          <cell r="H1227">
            <v>19.37</v>
          </cell>
        </row>
        <row r="1228">
          <cell r="D1228">
            <v>7397.35</v>
          </cell>
          <cell r="H1228">
            <v>24.84</v>
          </cell>
        </row>
        <row r="1229">
          <cell r="D1229">
            <v>7399.04</v>
          </cell>
          <cell r="H1229">
            <v>25.07</v>
          </cell>
        </row>
        <row r="1230">
          <cell r="D1230">
            <v>7399.08</v>
          </cell>
          <cell r="H1230">
            <v>19.62</v>
          </cell>
        </row>
        <row r="1231">
          <cell r="D1231">
            <v>7399.17</v>
          </cell>
          <cell r="H1231">
            <v>14.15</v>
          </cell>
        </row>
        <row r="1232">
          <cell r="D1232">
            <v>7423.5</v>
          </cell>
          <cell r="H1232">
            <v>40.909999999999997</v>
          </cell>
        </row>
        <row r="1233">
          <cell r="D1233">
            <v>7423.52</v>
          </cell>
          <cell r="H1233">
            <v>41.01</v>
          </cell>
        </row>
        <row r="1234">
          <cell r="D1234">
            <v>7423.65</v>
          </cell>
          <cell r="H1234">
            <v>27.31</v>
          </cell>
        </row>
        <row r="1235">
          <cell r="D1235">
            <v>7423.72</v>
          </cell>
          <cell r="H1235">
            <v>16.36</v>
          </cell>
        </row>
        <row r="1236">
          <cell r="D1236">
            <v>7423.73</v>
          </cell>
          <cell r="H1236">
            <v>21.84</v>
          </cell>
        </row>
        <row r="1237">
          <cell r="D1237">
            <v>7423.8</v>
          </cell>
          <cell r="H1237">
            <v>27.46</v>
          </cell>
        </row>
        <row r="1238">
          <cell r="D1238">
            <v>7423.82</v>
          </cell>
          <cell r="H1238">
            <v>16.5</v>
          </cell>
        </row>
        <row r="1239">
          <cell r="D1239">
            <v>7423.92</v>
          </cell>
          <cell r="H1239">
            <v>21.99</v>
          </cell>
        </row>
        <row r="1240">
          <cell r="D1240">
            <v>7473.49</v>
          </cell>
          <cell r="H1240">
            <v>37.33</v>
          </cell>
        </row>
        <row r="1241">
          <cell r="D1241">
            <v>7473.52</v>
          </cell>
          <cell r="H1241">
            <v>37.340000000000003</v>
          </cell>
        </row>
        <row r="1242">
          <cell r="D1242">
            <v>7473.65</v>
          </cell>
          <cell r="H1242">
            <v>23.57</v>
          </cell>
        </row>
        <row r="1243">
          <cell r="D1243">
            <v>7473.72</v>
          </cell>
          <cell r="H1243">
            <v>12.75</v>
          </cell>
        </row>
        <row r="1244">
          <cell r="D1244">
            <v>7473.73</v>
          </cell>
          <cell r="H1244">
            <v>18.21</v>
          </cell>
        </row>
        <row r="1245">
          <cell r="D1245">
            <v>7473.8</v>
          </cell>
          <cell r="H1245">
            <v>23.48</v>
          </cell>
        </row>
        <row r="1246">
          <cell r="D1246">
            <v>7473.82</v>
          </cell>
          <cell r="H1246">
            <v>12.7</v>
          </cell>
        </row>
        <row r="1247">
          <cell r="D1247">
            <v>7473.92</v>
          </cell>
          <cell r="H1247">
            <v>18.18</v>
          </cell>
        </row>
        <row r="1248">
          <cell r="D1248">
            <v>7523.49</v>
          </cell>
          <cell r="H1248">
            <v>34.22</v>
          </cell>
        </row>
        <row r="1249">
          <cell r="D1249">
            <v>7523.52</v>
          </cell>
          <cell r="H1249">
            <v>34.36</v>
          </cell>
        </row>
        <row r="1250">
          <cell r="D1250">
            <v>7523.65</v>
          </cell>
          <cell r="H1250">
            <v>20.39</v>
          </cell>
        </row>
        <row r="1251">
          <cell r="D1251">
            <v>7523.72</v>
          </cell>
          <cell r="H1251">
            <v>9.66</v>
          </cell>
        </row>
        <row r="1252">
          <cell r="D1252">
            <v>7523.73</v>
          </cell>
          <cell r="H1252">
            <v>15.11</v>
          </cell>
        </row>
        <row r="1253">
          <cell r="D1253">
            <v>7523.8</v>
          </cell>
          <cell r="H1253">
            <v>20.260000000000002</v>
          </cell>
        </row>
        <row r="1254">
          <cell r="D1254">
            <v>7523.82</v>
          </cell>
          <cell r="H1254">
            <v>9.6300000000000008</v>
          </cell>
        </row>
        <row r="1255">
          <cell r="D1255">
            <v>7523.92</v>
          </cell>
          <cell r="H1255">
            <v>15.06</v>
          </cell>
        </row>
        <row r="1256">
          <cell r="D1256">
            <v>7573.49</v>
          </cell>
          <cell r="H1256">
            <v>33.06</v>
          </cell>
        </row>
        <row r="1257">
          <cell r="D1257">
            <v>7573.52</v>
          </cell>
          <cell r="H1257">
            <v>33.130000000000003</v>
          </cell>
        </row>
        <row r="1258">
          <cell r="D1258">
            <v>7573.65</v>
          </cell>
          <cell r="H1258">
            <v>19.07</v>
          </cell>
        </row>
        <row r="1259">
          <cell r="D1259">
            <v>7573.72</v>
          </cell>
          <cell r="H1259">
            <v>8.39</v>
          </cell>
        </row>
        <row r="1260">
          <cell r="D1260">
            <v>7573.73</v>
          </cell>
          <cell r="H1260">
            <v>13.82</v>
          </cell>
        </row>
        <row r="1261">
          <cell r="D1261">
            <v>7573.8</v>
          </cell>
          <cell r="H1261">
            <v>18.98</v>
          </cell>
        </row>
        <row r="1262">
          <cell r="D1262">
            <v>7573.82</v>
          </cell>
          <cell r="H1262">
            <v>8.4</v>
          </cell>
        </row>
        <row r="1263">
          <cell r="D1263">
            <v>7573.92</v>
          </cell>
          <cell r="H1263">
            <v>13.82</v>
          </cell>
        </row>
        <row r="1264">
          <cell r="D1264">
            <v>7623.49</v>
          </cell>
          <cell r="H1264">
            <v>33.39</v>
          </cell>
        </row>
        <row r="1265">
          <cell r="D1265">
            <v>7623.52</v>
          </cell>
          <cell r="H1265">
            <v>33.340000000000003</v>
          </cell>
        </row>
        <row r="1266">
          <cell r="D1266">
            <v>7623.65</v>
          </cell>
          <cell r="H1266">
            <v>19.47</v>
          </cell>
        </row>
        <row r="1267">
          <cell r="D1267">
            <v>7623.72</v>
          </cell>
          <cell r="H1267">
            <v>8.74</v>
          </cell>
        </row>
        <row r="1268">
          <cell r="D1268">
            <v>7623.73</v>
          </cell>
          <cell r="H1268">
            <v>14.21</v>
          </cell>
        </row>
        <row r="1269">
          <cell r="D1269">
            <v>7623.8</v>
          </cell>
          <cell r="H1269">
            <v>19.170000000000002</v>
          </cell>
        </row>
        <row r="1270">
          <cell r="D1270">
            <v>7623.82</v>
          </cell>
          <cell r="H1270">
            <v>8.6</v>
          </cell>
        </row>
        <row r="1271">
          <cell r="D1271">
            <v>7623.92</v>
          </cell>
          <cell r="H1271">
            <v>14.04</v>
          </cell>
        </row>
        <row r="1272">
          <cell r="D1272">
            <v>7673.49</v>
          </cell>
          <cell r="H1272">
            <v>34.869999999999997</v>
          </cell>
        </row>
        <row r="1273">
          <cell r="D1273">
            <v>7673.52</v>
          </cell>
          <cell r="H1273">
            <v>34.94</v>
          </cell>
        </row>
        <row r="1274">
          <cell r="D1274">
            <v>7673.65</v>
          </cell>
          <cell r="H1274">
            <v>20.89</v>
          </cell>
        </row>
        <row r="1275">
          <cell r="D1275">
            <v>7673.72</v>
          </cell>
          <cell r="H1275">
            <v>10.18</v>
          </cell>
        </row>
        <row r="1276">
          <cell r="D1276">
            <v>7673.73</v>
          </cell>
          <cell r="H1276">
            <v>15.61</v>
          </cell>
        </row>
        <row r="1277">
          <cell r="D1277">
            <v>7673.8</v>
          </cell>
          <cell r="H1277">
            <v>20.85</v>
          </cell>
        </row>
        <row r="1278">
          <cell r="D1278">
            <v>7673.82</v>
          </cell>
          <cell r="H1278">
            <v>10.23</v>
          </cell>
        </row>
        <row r="1279">
          <cell r="D1279">
            <v>7673.92</v>
          </cell>
          <cell r="H1279">
            <v>15.65</v>
          </cell>
        </row>
        <row r="1280">
          <cell r="D1280">
            <v>7723.49</v>
          </cell>
          <cell r="H1280">
            <v>37.83</v>
          </cell>
        </row>
        <row r="1281">
          <cell r="D1281">
            <v>7723.52</v>
          </cell>
          <cell r="H1281">
            <v>37.869999999999997</v>
          </cell>
        </row>
        <row r="1282">
          <cell r="D1282">
            <v>7723.65</v>
          </cell>
          <cell r="H1282">
            <v>24.08</v>
          </cell>
        </row>
        <row r="1283">
          <cell r="D1283">
            <v>7723.72</v>
          </cell>
          <cell r="H1283">
            <v>13.25</v>
          </cell>
        </row>
        <row r="1284">
          <cell r="D1284">
            <v>7723.73</v>
          </cell>
          <cell r="H1284">
            <v>18.71</v>
          </cell>
        </row>
        <row r="1285">
          <cell r="D1285">
            <v>7723.8</v>
          </cell>
          <cell r="H1285">
            <v>23.96</v>
          </cell>
        </row>
        <row r="1286">
          <cell r="D1286">
            <v>7723.82</v>
          </cell>
          <cell r="H1286">
            <v>13.19</v>
          </cell>
        </row>
        <row r="1287">
          <cell r="D1287">
            <v>7723.92</v>
          </cell>
          <cell r="H1287">
            <v>18.66</v>
          </cell>
        </row>
        <row r="1288">
          <cell r="D1288">
            <v>7773.35</v>
          </cell>
          <cell r="H1288">
            <v>17.84</v>
          </cell>
        </row>
        <row r="1289">
          <cell r="D1289">
            <v>7773.47</v>
          </cell>
          <cell r="H1289">
            <v>23.49</v>
          </cell>
        </row>
        <row r="1290">
          <cell r="D1290">
            <v>7773.47</v>
          </cell>
          <cell r="H1290">
            <v>23.34</v>
          </cell>
        </row>
        <row r="1291">
          <cell r="D1291">
            <v>7773.48</v>
          </cell>
          <cell r="H1291">
            <v>28.82</v>
          </cell>
        </row>
        <row r="1292">
          <cell r="D1292">
            <v>7773.48</v>
          </cell>
          <cell r="H1292">
            <v>42.5</v>
          </cell>
        </row>
        <row r="1293">
          <cell r="D1293">
            <v>7773.48</v>
          </cell>
          <cell r="H1293">
            <v>42.51</v>
          </cell>
        </row>
        <row r="1294">
          <cell r="D1294">
            <v>7773.51</v>
          </cell>
          <cell r="H1294">
            <v>18.02</v>
          </cell>
        </row>
        <row r="1295">
          <cell r="D1295">
            <v>7773.52</v>
          </cell>
          <cell r="H1295">
            <v>28.97</v>
          </cell>
        </row>
        <row r="1296">
          <cell r="D1296">
            <v>7823.35</v>
          </cell>
          <cell r="H1296">
            <v>12.8</v>
          </cell>
        </row>
        <row r="1297">
          <cell r="D1297">
            <v>7823.47</v>
          </cell>
          <cell r="H1297">
            <v>18.329999999999998</v>
          </cell>
        </row>
        <row r="1298">
          <cell r="D1298">
            <v>7823.47</v>
          </cell>
          <cell r="H1298">
            <v>18.329999999999998</v>
          </cell>
        </row>
        <row r="1299">
          <cell r="D1299">
            <v>7823.48</v>
          </cell>
          <cell r="H1299">
            <v>23.7</v>
          </cell>
        </row>
        <row r="1300">
          <cell r="D1300">
            <v>7823.48</v>
          </cell>
          <cell r="H1300">
            <v>37.49</v>
          </cell>
        </row>
        <row r="1301">
          <cell r="D1301">
            <v>7823.48</v>
          </cell>
          <cell r="H1301">
            <v>37.54</v>
          </cell>
        </row>
        <row r="1302">
          <cell r="D1302">
            <v>7823.51</v>
          </cell>
          <cell r="H1302">
            <v>12.9</v>
          </cell>
        </row>
        <row r="1303">
          <cell r="D1303">
            <v>7823.52</v>
          </cell>
          <cell r="H1303">
            <v>23.67</v>
          </cell>
        </row>
        <row r="1304">
          <cell r="D1304">
            <v>7873.35</v>
          </cell>
          <cell r="H1304">
            <v>9.5500000000000007</v>
          </cell>
        </row>
        <row r="1305">
          <cell r="D1305">
            <v>7873.47</v>
          </cell>
          <cell r="H1305">
            <v>15.02</v>
          </cell>
        </row>
        <row r="1306">
          <cell r="D1306">
            <v>7873.47</v>
          </cell>
          <cell r="H1306">
            <v>15.08</v>
          </cell>
        </row>
        <row r="1307">
          <cell r="D1307">
            <v>7873.48</v>
          </cell>
          <cell r="H1307">
            <v>20.38</v>
          </cell>
        </row>
        <row r="1308">
          <cell r="D1308">
            <v>7873.48</v>
          </cell>
          <cell r="H1308">
            <v>34.35</v>
          </cell>
        </row>
        <row r="1309">
          <cell r="D1309">
            <v>7873.48</v>
          </cell>
          <cell r="H1309">
            <v>34.409999999999997</v>
          </cell>
        </row>
        <row r="1310">
          <cell r="D1310">
            <v>7873.51</v>
          </cell>
          <cell r="H1310">
            <v>9.64</v>
          </cell>
        </row>
        <row r="1311">
          <cell r="D1311">
            <v>7873.52</v>
          </cell>
          <cell r="H1311">
            <v>20.28</v>
          </cell>
        </row>
        <row r="1312">
          <cell r="D1312">
            <v>7923.35</v>
          </cell>
          <cell r="H1312">
            <v>7.88</v>
          </cell>
        </row>
        <row r="1313">
          <cell r="D1313">
            <v>7923.47</v>
          </cell>
          <cell r="H1313">
            <v>13.38</v>
          </cell>
        </row>
        <row r="1314">
          <cell r="D1314">
            <v>7923.47</v>
          </cell>
          <cell r="H1314">
            <v>13.42</v>
          </cell>
        </row>
        <row r="1315">
          <cell r="D1315">
            <v>7923.48</v>
          </cell>
          <cell r="H1315">
            <v>18.68</v>
          </cell>
        </row>
        <row r="1316">
          <cell r="D1316">
            <v>7923.48</v>
          </cell>
          <cell r="H1316">
            <v>32.74</v>
          </cell>
        </row>
        <row r="1317">
          <cell r="D1317">
            <v>7923.48</v>
          </cell>
          <cell r="H1317">
            <v>32.78</v>
          </cell>
        </row>
        <row r="1318">
          <cell r="D1318">
            <v>7923.51</v>
          </cell>
          <cell r="H1318">
            <v>8.0399999999999991</v>
          </cell>
        </row>
        <row r="1319">
          <cell r="D1319">
            <v>7923.52</v>
          </cell>
          <cell r="H1319">
            <v>18.579999999999998</v>
          </cell>
        </row>
        <row r="1320">
          <cell r="D1320">
            <v>7973.35</v>
          </cell>
          <cell r="H1320">
            <v>7.51</v>
          </cell>
        </row>
        <row r="1321">
          <cell r="D1321">
            <v>7973.47</v>
          </cell>
          <cell r="H1321">
            <v>12.91</v>
          </cell>
        </row>
        <row r="1322">
          <cell r="D1322">
            <v>7973.47</v>
          </cell>
          <cell r="H1322">
            <v>13.05</v>
          </cell>
        </row>
        <row r="1323">
          <cell r="D1323">
            <v>7973.48</v>
          </cell>
          <cell r="H1323">
            <v>18.309999999999999</v>
          </cell>
        </row>
        <row r="1324">
          <cell r="D1324">
            <v>7973.48</v>
          </cell>
          <cell r="H1324">
            <v>32.44</v>
          </cell>
        </row>
        <row r="1325">
          <cell r="D1325">
            <v>7973.48</v>
          </cell>
          <cell r="H1325">
            <v>32.380000000000003</v>
          </cell>
        </row>
        <row r="1326">
          <cell r="D1326">
            <v>7973.51</v>
          </cell>
          <cell r="H1326">
            <v>7.54</v>
          </cell>
        </row>
        <row r="1327">
          <cell r="D1327">
            <v>7973.52</v>
          </cell>
          <cell r="H1327">
            <v>18.11</v>
          </cell>
        </row>
        <row r="1328">
          <cell r="D1328">
            <v>8023.35</v>
          </cell>
          <cell r="H1328">
            <v>8.99</v>
          </cell>
        </row>
        <row r="1329">
          <cell r="D1329">
            <v>8023.47</v>
          </cell>
          <cell r="H1329">
            <v>14.36</v>
          </cell>
        </row>
        <row r="1330">
          <cell r="D1330">
            <v>8023.47</v>
          </cell>
          <cell r="H1330">
            <v>14.54</v>
          </cell>
        </row>
        <row r="1331">
          <cell r="D1331">
            <v>8023.48</v>
          </cell>
          <cell r="H1331">
            <v>19.829999999999998</v>
          </cell>
        </row>
        <row r="1332">
          <cell r="D1332">
            <v>8023.48</v>
          </cell>
          <cell r="H1332">
            <v>33.78</v>
          </cell>
        </row>
        <row r="1333">
          <cell r="D1333">
            <v>8023.48</v>
          </cell>
          <cell r="H1333">
            <v>33.81</v>
          </cell>
        </row>
        <row r="1334">
          <cell r="D1334">
            <v>8023.51</v>
          </cell>
          <cell r="H1334">
            <v>8.98</v>
          </cell>
        </row>
        <row r="1335">
          <cell r="D1335">
            <v>8023.52</v>
          </cell>
          <cell r="H1335">
            <v>19.600000000000001</v>
          </cell>
        </row>
        <row r="1336">
          <cell r="D1336">
            <v>8073.35</v>
          </cell>
          <cell r="H1336">
            <v>11.61</v>
          </cell>
        </row>
        <row r="1337">
          <cell r="D1337">
            <v>8073.47</v>
          </cell>
          <cell r="H1337">
            <v>16.95</v>
          </cell>
        </row>
        <row r="1338">
          <cell r="D1338">
            <v>8073.47</v>
          </cell>
          <cell r="H1338">
            <v>17.14</v>
          </cell>
        </row>
        <row r="1339">
          <cell r="D1339">
            <v>8073.48</v>
          </cell>
          <cell r="H1339">
            <v>22.5</v>
          </cell>
        </row>
        <row r="1340">
          <cell r="D1340">
            <v>8073.48</v>
          </cell>
          <cell r="H1340">
            <v>36.18</v>
          </cell>
        </row>
        <row r="1341">
          <cell r="D1341">
            <v>8073.48</v>
          </cell>
          <cell r="H1341">
            <v>36.200000000000003</v>
          </cell>
        </row>
        <row r="1342">
          <cell r="D1342">
            <v>8073.51</v>
          </cell>
          <cell r="H1342">
            <v>11.54</v>
          </cell>
        </row>
        <row r="1343">
          <cell r="D1343">
            <v>8073.52</v>
          </cell>
          <cell r="H1343">
            <v>22.27</v>
          </cell>
        </row>
        <row r="1344">
          <cell r="D1344">
            <v>8123.35</v>
          </cell>
          <cell r="H1344">
            <v>15.59</v>
          </cell>
        </row>
        <row r="1345">
          <cell r="D1345">
            <v>8123.47</v>
          </cell>
          <cell r="H1345">
            <v>21.27</v>
          </cell>
        </row>
        <row r="1346">
          <cell r="D1346">
            <v>8123.47</v>
          </cell>
          <cell r="H1346">
            <v>21.1</v>
          </cell>
        </row>
        <row r="1347">
          <cell r="D1347">
            <v>8123.48</v>
          </cell>
          <cell r="H1347">
            <v>26.57</v>
          </cell>
        </row>
        <row r="1348">
          <cell r="D1348">
            <v>8123.48</v>
          </cell>
          <cell r="H1348">
            <v>40.26</v>
          </cell>
        </row>
        <row r="1349">
          <cell r="D1349">
            <v>8123.48</v>
          </cell>
          <cell r="H1349">
            <v>40.369999999999997</v>
          </cell>
        </row>
        <row r="1350">
          <cell r="D1350">
            <v>8123.51</v>
          </cell>
          <cell r="H1350">
            <v>15.8</v>
          </cell>
        </row>
        <row r="1351">
          <cell r="D1351">
            <v>8123.52</v>
          </cell>
          <cell r="H1351">
            <v>26.72</v>
          </cell>
        </row>
        <row r="1352">
          <cell r="D1352">
            <v>8131.69</v>
          </cell>
          <cell r="H1352">
            <v>16.59</v>
          </cell>
        </row>
        <row r="1353">
          <cell r="D1353">
            <v>8131.71</v>
          </cell>
          <cell r="H1353">
            <v>27.46</v>
          </cell>
        </row>
        <row r="1354">
          <cell r="D1354">
            <v>8131.71</v>
          </cell>
          <cell r="H1354">
            <v>22.09</v>
          </cell>
        </row>
        <row r="1355">
          <cell r="D1355">
            <v>8131.78</v>
          </cell>
          <cell r="H1355">
            <v>27.58</v>
          </cell>
        </row>
        <row r="1356">
          <cell r="D1356">
            <v>8131.78</v>
          </cell>
          <cell r="H1356">
            <v>21.97</v>
          </cell>
        </row>
        <row r="1357">
          <cell r="D1357">
            <v>8131.86</v>
          </cell>
          <cell r="H1357">
            <v>16.489999999999998</v>
          </cell>
        </row>
        <row r="1358">
          <cell r="D1358">
            <v>8131.86</v>
          </cell>
          <cell r="H1358">
            <v>41.21</v>
          </cell>
        </row>
        <row r="1359">
          <cell r="D1359">
            <v>8131.86</v>
          </cell>
          <cell r="H1359">
            <v>41.19</v>
          </cell>
        </row>
        <row r="1360">
          <cell r="D1360">
            <v>8181.68</v>
          </cell>
          <cell r="H1360">
            <v>12.18</v>
          </cell>
        </row>
        <row r="1361">
          <cell r="D1361">
            <v>8181.71</v>
          </cell>
          <cell r="H1361">
            <v>17.600000000000001</v>
          </cell>
        </row>
        <row r="1362">
          <cell r="D1362">
            <v>8181.71</v>
          </cell>
          <cell r="H1362">
            <v>22.96</v>
          </cell>
        </row>
        <row r="1363">
          <cell r="D1363">
            <v>8181.77</v>
          </cell>
          <cell r="H1363">
            <v>22.98</v>
          </cell>
        </row>
        <row r="1364">
          <cell r="D1364">
            <v>8181.78</v>
          </cell>
          <cell r="H1364">
            <v>17.61</v>
          </cell>
        </row>
        <row r="1365">
          <cell r="D1365">
            <v>8181.86</v>
          </cell>
          <cell r="H1365">
            <v>36.799999999999997</v>
          </cell>
        </row>
        <row r="1366">
          <cell r="D1366">
            <v>8181.86</v>
          </cell>
          <cell r="H1366">
            <v>12.13</v>
          </cell>
        </row>
        <row r="1367">
          <cell r="D1367">
            <v>8181.86</v>
          </cell>
          <cell r="H1367">
            <v>36.81</v>
          </cell>
        </row>
        <row r="1368">
          <cell r="D1368">
            <v>8231.68</v>
          </cell>
          <cell r="H1368">
            <v>9.74</v>
          </cell>
        </row>
        <row r="1369">
          <cell r="D1369">
            <v>8231.7099999999991</v>
          </cell>
          <cell r="H1369">
            <v>15.15</v>
          </cell>
        </row>
        <row r="1370">
          <cell r="D1370">
            <v>8231.7099999999991</v>
          </cell>
          <cell r="H1370">
            <v>20.43</v>
          </cell>
        </row>
        <row r="1371">
          <cell r="D1371">
            <v>8231.77</v>
          </cell>
          <cell r="H1371">
            <v>20.46</v>
          </cell>
        </row>
        <row r="1372">
          <cell r="D1372">
            <v>8231.7800000000007</v>
          </cell>
          <cell r="H1372">
            <v>15.17</v>
          </cell>
        </row>
        <row r="1373">
          <cell r="D1373">
            <v>8231.86</v>
          </cell>
          <cell r="H1373">
            <v>34.42</v>
          </cell>
        </row>
        <row r="1374">
          <cell r="D1374">
            <v>8231.86</v>
          </cell>
          <cell r="H1374">
            <v>9.6999999999999993</v>
          </cell>
        </row>
        <row r="1375">
          <cell r="D1375">
            <v>8231.86</v>
          </cell>
          <cell r="H1375">
            <v>34.39</v>
          </cell>
        </row>
        <row r="1376">
          <cell r="D1376">
            <v>8281.68</v>
          </cell>
          <cell r="H1376">
            <v>8.4</v>
          </cell>
        </row>
        <row r="1377">
          <cell r="D1377">
            <v>8281.7099999999991</v>
          </cell>
          <cell r="H1377">
            <v>13.81</v>
          </cell>
        </row>
        <row r="1378">
          <cell r="D1378">
            <v>8281.7099999999991</v>
          </cell>
          <cell r="H1378">
            <v>18.760000000000002</v>
          </cell>
        </row>
        <row r="1379">
          <cell r="D1379">
            <v>8281.77</v>
          </cell>
          <cell r="H1379">
            <v>19.079999999999998</v>
          </cell>
        </row>
        <row r="1380">
          <cell r="D1380">
            <v>8281.7800000000007</v>
          </cell>
          <cell r="H1380">
            <v>13.54</v>
          </cell>
        </row>
        <row r="1381">
          <cell r="D1381">
            <v>8281.86</v>
          </cell>
          <cell r="H1381">
            <v>33.14</v>
          </cell>
        </row>
        <row r="1382">
          <cell r="D1382">
            <v>8281.86</v>
          </cell>
          <cell r="H1382">
            <v>8.07</v>
          </cell>
        </row>
        <row r="1383">
          <cell r="D1383">
            <v>8281.86</v>
          </cell>
          <cell r="H1383">
            <v>32.92</v>
          </cell>
        </row>
        <row r="1384">
          <cell r="D1384">
            <v>8331.68</v>
          </cell>
          <cell r="H1384">
            <v>8.07</v>
          </cell>
        </row>
        <row r="1385">
          <cell r="D1385">
            <v>8331.7099999999991</v>
          </cell>
          <cell r="H1385">
            <v>13.47</v>
          </cell>
        </row>
        <row r="1386">
          <cell r="D1386">
            <v>8331.7099999999991</v>
          </cell>
          <cell r="H1386">
            <v>18.77</v>
          </cell>
        </row>
        <row r="1387">
          <cell r="D1387">
            <v>8331.77</v>
          </cell>
          <cell r="H1387">
            <v>18.73</v>
          </cell>
        </row>
        <row r="1388">
          <cell r="D1388">
            <v>8331.7800000000007</v>
          </cell>
          <cell r="H1388">
            <v>13.55</v>
          </cell>
        </row>
        <row r="1389">
          <cell r="D1389">
            <v>8331.86</v>
          </cell>
          <cell r="H1389">
            <v>32.909999999999997</v>
          </cell>
        </row>
        <row r="1390">
          <cell r="D1390">
            <v>8331.86</v>
          </cell>
          <cell r="H1390">
            <v>8.0299999999999994</v>
          </cell>
        </row>
        <row r="1391">
          <cell r="D1391">
            <v>8331.86</v>
          </cell>
          <cell r="H1391">
            <v>32.700000000000003</v>
          </cell>
        </row>
        <row r="1392">
          <cell r="D1392">
            <v>8381.68</v>
          </cell>
          <cell r="H1392">
            <v>9.23</v>
          </cell>
        </row>
        <row r="1393">
          <cell r="D1393">
            <v>8381.7099999999991</v>
          </cell>
          <cell r="H1393">
            <v>14.65</v>
          </cell>
        </row>
        <row r="1394">
          <cell r="D1394">
            <v>8381.7099999999991</v>
          </cell>
          <cell r="H1394">
            <v>19.79</v>
          </cell>
        </row>
        <row r="1395">
          <cell r="D1395">
            <v>8381.77</v>
          </cell>
          <cell r="H1395">
            <v>19.96</v>
          </cell>
        </row>
        <row r="1396">
          <cell r="D1396">
            <v>8381.7800000000007</v>
          </cell>
          <cell r="H1396">
            <v>14.52</v>
          </cell>
        </row>
        <row r="1397">
          <cell r="D1397">
            <v>8381.86</v>
          </cell>
          <cell r="H1397">
            <v>33.9</v>
          </cell>
        </row>
        <row r="1398">
          <cell r="D1398">
            <v>8381.86</v>
          </cell>
          <cell r="H1398">
            <v>9.02</v>
          </cell>
        </row>
        <row r="1399">
          <cell r="D1399">
            <v>8381.86</v>
          </cell>
          <cell r="H1399">
            <v>33.729999999999997</v>
          </cell>
        </row>
        <row r="1400">
          <cell r="D1400">
            <v>8431.68</v>
          </cell>
          <cell r="H1400">
            <v>12.37</v>
          </cell>
        </row>
        <row r="1401">
          <cell r="D1401">
            <v>8431.7099999999991</v>
          </cell>
          <cell r="H1401">
            <v>17.82</v>
          </cell>
        </row>
        <row r="1402">
          <cell r="D1402">
            <v>8431.7099999999991</v>
          </cell>
          <cell r="H1402">
            <v>23.06</v>
          </cell>
        </row>
        <row r="1403">
          <cell r="D1403">
            <v>8431.77</v>
          </cell>
          <cell r="H1403">
            <v>23.21</v>
          </cell>
        </row>
        <row r="1404">
          <cell r="D1404">
            <v>8431.7800000000007</v>
          </cell>
          <cell r="H1404">
            <v>17.7</v>
          </cell>
        </row>
        <row r="1405">
          <cell r="D1405">
            <v>8431.86</v>
          </cell>
          <cell r="H1405">
            <v>36.979999999999997</v>
          </cell>
        </row>
        <row r="1406">
          <cell r="D1406">
            <v>8431.86</v>
          </cell>
          <cell r="H1406">
            <v>12.21</v>
          </cell>
        </row>
        <row r="1407">
          <cell r="D1407">
            <v>8431.86</v>
          </cell>
          <cell r="H1407">
            <v>36.869999999999997</v>
          </cell>
        </row>
        <row r="1408">
          <cell r="D1408">
            <v>8476.5499999999993</v>
          </cell>
          <cell r="H1408">
            <v>41.05</v>
          </cell>
        </row>
        <row r="1409">
          <cell r="D1409">
            <v>8476.5499999999993</v>
          </cell>
          <cell r="H1409">
            <v>41.14</v>
          </cell>
        </row>
        <row r="1410">
          <cell r="D1410">
            <v>8476.64</v>
          </cell>
          <cell r="H1410">
            <v>21.91</v>
          </cell>
        </row>
        <row r="1411">
          <cell r="D1411">
            <v>8476.66</v>
          </cell>
          <cell r="H1411">
            <v>27.47</v>
          </cell>
        </row>
        <row r="1412">
          <cell r="D1412">
            <v>8476.7099999999991</v>
          </cell>
          <cell r="H1412">
            <v>16.48</v>
          </cell>
        </row>
        <row r="1413">
          <cell r="D1413">
            <v>8476.7099999999991</v>
          </cell>
          <cell r="H1413">
            <v>27.4</v>
          </cell>
        </row>
        <row r="1414">
          <cell r="D1414">
            <v>8476.73</v>
          </cell>
          <cell r="H1414">
            <v>21.99</v>
          </cell>
        </row>
        <row r="1415">
          <cell r="D1415">
            <v>8476.74</v>
          </cell>
          <cell r="H1415">
            <v>16.41</v>
          </cell>
        </row>
        <row r="1416">
          <cell r="D1416">
            <v>8526.5499999999993</v>
          </cell>
          <cell r="H1416">
            <v>36.86</v>
          </cell>
        </row>
        <row r="1417">
          <cell r="D1417">
            <v>8526.5499999999993</v>
          </cell>
          <cell r="H1417">
            <v>36.64</v>
          </cell>
        </row>
        <row r="1418">
          <cell r="D1418">
            <v>8526.64</v>
          </cell>
          <cell r="H1418">
            <v>17.62</v>
          </cell>
        </row>
        <row r="1419">
          <cell r="D1419">
            <v>8526.66</v>
          </cell>
          <cell r="H1419">
            <v>22.87</v>
          </cell>
        </row>
        <row r="1420">
          <cell r="D1420">
            <v>8526.7099999999991</v>
          </cell>
          <cell r="H1420">
            <v>12.08</v>
          </cell>
        </row>
        <row r="1421">
          <cell r="D1421">
            <v>8526.7099999999991</v>
          </cell>
          <cell r="H1421">
            <v>22.99</v>
          </cell>
        </row>
        <row r="1422">
          <cell r="D1422">
            <v>8526.73</v>
          </cell>
          <cell r="H1422">
            <v>17.53</v>
          </cell>
        </row>
        <row r="1423">
          <cell r="D1423">
            <v>8526.74</v>
          </cell>
          <cell r="H1423">
            <v>12.18</v>
          </cell>
        </row>
        <row r="1424">
          <cell r="D1424">
            <v>8576.5499999999993</v>
          </cell>
          <cell r="H1424">
            <v>33.700000000000003</v>
          </cell>
        </row>
        <row r="1425">
          <cell r="D1425">
            <v>8576.5499999999993</v>
          </cell>
          <cell r="H1425">
            <v>33.71</v>
          </cell>
        </row>
        <row r="1426">
          <cell r="D1426">
            <v>8576.64</v>
          </cell>
          <cell r="H1426">
            <v>14.55</v>
          </cell>
        </row>
        <row r="1427">
          <cell r="D1427">
            <v>8576.66</v>
          </cell>
          <cell r="H1427">
            <v>19.77</v>
          </cell>
        </row>
        <row r="1428">
          <cell r="D1428">
            <v>8576.7099999999991</v>
          </cell>
          <cell r="H1428">
            <v>9.1</v>
          </cell>
        </row>
        <row r="1429">
          <cell r="D1429">
            <v>8576.7099999999991</v>
          </cell>
          <cell r="H1429">
            <v>19.86</v>
          </cell>
        </row>
        <row r="1430">
          <cell r="D1430">
            <v>8576.73</v>
          </cell>
          <cell r="H1430">
            <v>14.52</v>
          </cell>
        </row>
        <row r="1431">
          <cell r="D1431">
            <v>8576.74</v>
          </cell>
          <cell r="H1431">
            <v>9.14</v>
          </cell>
        </row>
        <row r="1432">
          <cell r="D1432">
            <v>8626.5499999999993</v>
          </cell>
          <cell r="H1432">
            <v>32.01</v>
          </cell>
        </row>
        <row r="1433">
          <cell r="D1433">
            <v>8626.5499999999993</v>
          </cell>
          <cell r="H1433">
            <v>32.04</v>
          </cell>
        </row>
        <row r="1434">
          <cell r="D1434">
            <v>8626.64</v>
          </cell>
          <cell r="H1434">
            <v>12.92</v>
          </cell>
        </row>
        <row r="1435">
          <cell r="D1435">
            <v>8626.66</v>
          </cell>
          <cell r="H1435">
            <v>17.97</v>
          </cell>
        </row>
        <row r="1436">
          <cell r="D1436">
            <v>8626.7099999999991</v>
          </cell>
          <cell r="H1436">
            <v>7.35</v>
          </cell>
        </row>
        <row r="1437">
          <cell r="D1437">
            <v>8626.7099999999991</v>
          </cell>
          <cell r="H1437">
            <v>18.190000000000001</v>
          </cell>
        </row>
        <row r="1438">
          <cell r="D1438">
            <v>8626.73</v>
          </cell>
          <cell r="H1438">
            <v>12.76</v>
          </cell>
        </row>
        <row r="1439">
          <cell r="D1439">
            <v>8626.74</v>
          </cell>
          <cell r="H1439">
            <v>7.53</v>
          </cell>
        </row>
        <row r="1440">
          <cell r="D1440">
            <v>8676.5499999999993</v>
          </cell>
          <cell r="H1440">
            <v>32.21</v>
          </cell>
        </row>
        <row r="1441">
          <cell r="D1441">
            <v>8676.5499999999993</v>
          </cell>
          <cell r="H1441">
            <v>32.19</v>
          </cell>
        </row>
        <row r="1442">
          <cell r="D1442">
            <v>8676.64</v>
          </cell>
          <cell r="H1442">
            <v>13.12</v>
          </cell>
        </row>
        <row r="1443">
          <cell r="D1443">
            <v>8676.66</v>
          </cell>
          <cell r="H1443">
            <v>18.12</v>
          </cell>
        </row>
        <row r="1444">
          <cell r="D1444">
            <v>8676.7099999999991</v>
          </cell>
          <cell r="H1444">
            <v>7.51</v>
          </cell>
        </row>
        <row r="1445">
          <cell r="D1445">
            <v>8676.7099999999991</v>
          </cell>
          <cell r="H1445">
            <v>18.39</v>
          </cell>
        </row>
        <row r="1446">
          <cell r="D1446">
            <v>8676.73</v>
          </cell>
          <cell r="H1446">
            <v>12.91</v>
          </cell>
        </row>
        <row r="1447">
          <cell r="D1447">
            <v>8676.74</v>
          </cell>
          <cell r="H1447">
            <v>7.73</v>
          </cell>
        </row>
        <row r="1448">
          <cell r="D1448">
            <v>8726.5499999999993</v>
          </cell>
          <cell r="H1448">
            <v>34.14</v>
          </cell>
        </row>
        <row r="1449">
          <cell r="D1449">
            <v>8726.5499999999993</v>
          </cell>
          <cell r="H1449">
            <v>34.15</v>
          </cell>
        </row>
        <row r="1450">
          <cell r="D1450">
            <v>8726.64</v>
          </cell>
          <cell r="H1450">
            <v>15.1</v>
          </cell>
        </row>
        <row r="1451">
          <cell r="D1451">
            <v>8726.66</v>
          </cell>
          <cell r="H1451">
            <v>20.190000000000001</v>
          </cell>
        </row>
        <row r="1452">
          <cell r="D1452">
            <v>8726.7099999999991</v>
          </cell>
          <cell r="H1452">
            <v>9.5500000000000007</v>
          </cell>
        </row>
        <row r="1453">
          <cell r="D1453">
            <v>8726.7099999999991</v>
          </cell>
          <cell r="H1453">
            <v>20.41</v>
          </cell>
        </row>
        <row r="1454">
          <cell r="D1454">
            <v>8726.73</v>
          </cell>
          <cell r="H1454">
            <v>14.95</v>
          </cell>
        </row>
        <row r="1455">
          <cell r="D1455">
            <v>8726.74</v>
          </cell>
          <cell r="H1455">
            <v>9.6999999999999993</v>
          </cell>
        </row>
        <row r="1456">
          <cell r="D1456">
            <v>8776.5499999999993</v>
          </cell>
          <cell r="H1456">
            <v>37.72</v>
          </cell>
        </row>
        <row r="1457">
          <cell r="D1457">
            <v>8776.5499999999993</v>
          </cell>
          <cell r="H1457">
            <v>37.61</v>
          </cell>
        </row>
        <row r="1458">
          <cell r="D1458">
            <v>8776.64</v>
          </cell>
          <cell r="H1458">
            <v>18.690000000000001</v>
          </cell>
        </row>
        <row r="1459">
          <cell r="D1459">
            <v>8776.66</v>
          </cell>
          <cell r="H1459">
            <v>23.87</v>
          </cell>
        </row>
        <row r="1460">
          <cell r="D1460">
            <v>8776.7099999999991</v>
          </cell>
          <cell r="H1460">
            <v>13.09</v>
          </cell>
        </row>
        <row r="1461">
          <cell r="D1461">
            <v>8776.7099999999991</v>
          </cell>
          <cell r="H1461">
            <v>24.07</v>
          </cell>
        </row>
        <row r="1462">
          <cell r="D1462">
            <v>8776.73</v>
          </cell>
          <cell r="H1462">
            <v>18.53</v>
          </cell>
        </row>
        <row r="1463">
          <cell r="D1463">
            <v>8776.74</v>
          </cell>
          <cell r="H1463">
            <v>13.26</v>
          </cell>
        </row>
        <row r="1464">
          <cell r="D1464">
            <v>8826.2000000000007</v>
          </cell>
          <cell r="H1464">
            <v>17.739999999999998</v>
          </cell>
        </row>
        <row r="1465">
          <cell r="D1465">
            <v>8826.2900000000009</v>
          </cell>
          <cell r="H1465">
            <v>23.22</v>
          </cell>
        </row>
        <row r="1466">
          <cell r="D1466">
            <v>8826.43</v>
          </cell>
          <cell r="H1466">
            <v>42.29</v>
          </cell>
        </row>
        <row r="1467">
          <cell r="D1467">
            <v>8826.43</v>
          </cell>
          <cell r="H1467">
            <v>23.27</v>
          </cell>
        </row>
        <row r="1468">
          <cell r="D1468">
            <v>8826.43</v>
          </cell>
          <cell r="H1468">
            <v>17.77</v>
          </cell>
        </row>
        <row r="1469">
          <cell r="D1469">
            <v>8826.4699999999993</v>
          </cell>
          <cell r="H1469">
            <v>42.37</v>
          </cell>
        </row>
        <row r="1470">
          <cell r="D1470">
            <v>8826.4699999999993</v>
          </cell>
          <cell r="H1470">
            <v>28.75</v>
          </cell>
        </row>
        <row r="1471">
          <cell r="D1471">
            <v>8826.4699999999993</v>
          </cell>
          <cell r="H1471">
            <v>28.75</v>
          </cell>
        </row>
        <row r="1472">
          <cell r="D1472">
            <v>8826.57</v>
          </cell>
          <cell r="H1472">
            <v>28.7</v>
          </cell>
        </row>
        <row r="1473">
          <cell r="D1473">
            <v>8876.33</v>
          </cell>
          <cell r="H1473">
            <v>13.58</v>
          </cell>
        </row>
        <row r="1474">
          <cell r="D1474">
            <v>8876.39</v>
          </cell>
          <cell r="H1474">
            <v>38.229999999999997</v>
          </cell>
        </row>
        <row r="1475">
          <cell r="D1475">
            <v>8876.41</v>
          </cell>
          <cell r="H1475">
            <v>19.059999999999999</v>
          </cell>
        </row>
        <row r="1476">
          <cell r="D1476">
            <v>8876.4599999999991</v>
          </cell>
          <cell r="H1476">
            <v>13.66</v>
          </cell>
        </row>
        <row r="1477">
          <cell r="D1477">
            <v>8876.4699999999993</v>
          </cell>
          <cell r="H1477">
            <v>38.25</v>
          </cell>
        </row>
        <row r="1478">
          <cell r="D1478">
            <v>8876.4699999999993</v>
          </cell>
          <cell r="H1478">
            <v>24.45</v>
          </cell>
        </row>
        <row r="1479">
          <cell r="D1479">
            <v>8876.5400000000009</v>
          </cell>
          <cell r="H1479">
            <v>19.14</v>
          </cell>
        </row>
        <row r="1480">
          <cell r="D1480">
            <v>8876.57</v>
          </cell>
          <cell r="H1480">
            <v>24.55</v>
          </cell>
        </row>
        <row r="1481">
          <cell r="D1481">
            <v>8926.33</v>
          </cell>
          <cell r="H1481">
            <v>11.55</v>
          </cell>
        </row>
        <row r="1482">
          <cell r="D1482">
            <v>8926.39</v>
          </cell>
          <cell r="H1482">
            <v>36.369999999999997</v>
          </cell>
        </row>
        <row r="1483">
          <cell r="D1483">
            <v>8926.41</v>
          </cell>
          <cell r="H1483">
            <v>17.079999999999998</v>
          </cell>
        </row>
        <row r="1484">
          <cell r="D1484">
            <v>8926.4599999999991</v>
          </cell>
          <cell r="H1484">
            <v>11.74</v>
          </cell>
        </row>
        <row r="1485">
          <cell r="D1485">
            <v>8926.4699999999993</v>
          </cell>
          <cell r="H1485">
            <v>36.35</v>
          </cell>
        </row>
        <row r="1486">
          <cell r="D1486">
            <v>8926.4699999999993</v>
          </cell>
          <cell r="H1486">
            <v>22.43</v>
          </cell>
        </row>
        <row r="1487">
          <cell r="D1487">
            <v>8926.5400000000009</v>
          </cell>
          <cell r="H1487">
            <v>17.22</v>
          </cell>
        </row>
        <row r="1488">
          <cell r="D1488">
            <v>8926.57</v>
          </cell>
          <cell r="H1488">
            <v>22.58</v>
          </cell>
        </row>
        <row r="1489">
          <cell r="D1489">
            <v>8976.33</v>
          </cell>
          <cell r="H1489">
            <v>10.65</v>
          </cell>
        </row>
        <row r="1490">
          <cell r="D1490">
            <v>8976.39</v>
          </cell>
          <cell r="H1490">
            <v>35.369999999999997</v>
          </cell>
        </row>
        <row r="1491">
          <cell r="D1491">
            <v>8976.41</v>
          </cell>
          <cell r="H1491">
            <v>16.12</v>
          </cell>
        </row>
        <row r="1492">
          <cell r="D1492">
            <v>8976.4599999999991</v>
          </cell>
          <cell r="H1492">
            <v>10.63</v>
          </cell>
        </row>
        <row r="1493">
          <cell r="D1493">
            <v>8976.4699999999993</v>
          </cell>
          <cell r="H1493">
            <v>35.36</v>
          </cell>
        </row>
        <row r="1494">
          <cell r="D1494">
            <v>8976.4699999999993</v>
          </cell>
          <cell r="H1494">
            <v>21.46</v>
          </cell>
        </row>
        <row r="1495">
          <cell r="D1495">
            <v>8976.5400000000009</v>
          </cell>
          <cell r="H1495">
            <v>16.100000000000001</v>
          </cell>
        </row>
        <row r="1496">
          <cell r="D1496">
            <v>8976.57</v>
          </cell>
          <cell r="H1496">
            <v>21.46</v>
          </cell>
        </row>
        <row r="1497">
          <cell r="D1497">
            <v>9026.33</v>
          </cell>
          <cell r="H1497">
            <v>9.6</v>
          </cell>
        </row>
        <row r="1498">
          <cell r="D1498">
            <v>9026.39</v>
          </cell>
          <cell r="H1498">
            <v>34.26</v>
          </cell>
        </row>
        <row r="1499">
          <cell r="D1499">
            <v>9026.41</v>
          </cell>
          <cell r="H1499">
            <v>15.07</v>
          </cell>
        </row>
        <row r="1500">
          <cell r="D1500">
            <v>9026.4599999999991</v>
          </cell>
          <cell r="H1500">
            <v>9.51</v>
          </cell>
        </row>
        <row r="1501">
          <cell r="D1501">
            <v>9026.4699999999993</v>
          </cell>
          <cell r="H1501">
            <v>34.24</v>
          </cell>
        </row>
        <row r="1502">
          <cell r="D1502">
            <v>9026.4699999999993</v>
          </cell>
          <cell r="H1502">
            <v>20.43</v>
          </cell>
        </row>
        <row r="1503">
          <cell r="D1503">
            <v>9026.5400000000009</v>
          </cell>
          <cell r="H1503">
            <v>15</v>
          </cell>
        </row>
        <row r="1504">
          <cell r="D1504">
            <v>9026.57</v>
          </cell>
          <cell r="H1504">
            <v>20.38</v>
          </cell>
        </row>
        <row r="1505">
          <cell r="D1505">
            <v>9076.33</v>
          </cell>
          <cell r="H1505">
            <v>11.78</v>
          </cell>
        </row>
        <row r="1506">
          <cell r="D1506">
            <v>9076.39</v>
          </cell>
          <cell r="H1506">
            <v>36.409999999999997</v>
          </cell>
        </row>
        <row r="1507">
          <cell r="D1507">
            <v>9076.41</v>
          </cell>
          <cell r="H1507">
            <v>17.27</v>
          </cell>
        </row>
        <row r="1508">
          <cell r="D1508">
            <v>9076.4599999999991</v>
          </cell>
          <cell r="H1508">
            <v>12</v>
          </cell>
        </row>
        <row r="1509">
          <cell r="D1509">
            <v>9076.4699999999993</v>
          </cell>
          <cell r="H1509">
            <v>36.479999999999997</v>
          </cell>
        </row>
        <row r="1510">
          <cell r="D1510">
            <v>9076.4699999999993</v>
          </cell>
          <cell r="H1510">
            <v>22.7</v>
          </cell>
        </row>
        <row r="1511">
          <cell r="D1511">
            <v>9076.5400000000009</v>
          </cell>
          <cell r="H1511">
            <v>17.489999999999998</v>
          </cell>
        </row>
        <row r="1512">
          <cell r="D1512">
            <v>9076.57</v>
          </cell>
          <cell r="H1512">
            <v>22.93</v>
          </cell>
        </row>
        <row r="1513">
          <cell r="D1513">
            <v>9108.34</v>
          </cell>
          <cell r="H1513">
            <v>18.829999999999998</v>
          </cell>
        </row>
        <row r="1514">
          <cell r="D1514">
            <v>9108.34</v>
          </cell>
          <cell r="H1514">
            <v>24.31</v>
          </cell>
        </row>
        <row r="1515">
          <cell r="D1515">
            <v>9108.36</v>
          </cell>
          <cell r="H1515">
            <v>13.34</v>
          </cell>
        </row>
        <row r="1516">
          <cell r="D1516">
            <v>9108.39</v>
          </cell>
          <cell r="H1516">
            <v>13.1</v>
          </cell>
        </row>
        <row r="1517">
          <cell r="D1517">
            <v>9108.39</v>
          </cell>
          <cell r="H1517">
            <v>24.04</v>
          </cell>
        </row>
        <row r="1518">
          <cell r="D1518">
            <v>9108.4</v>
          </cell>
          <cell r="H1518">
            <v>18.559999999999999</v>
          </cell>
        </row>
        <row r="1519">
          <cell r="D1519">
            <v>9108.4</v>
          </cell>
          <cell r="H1519">
            <v>37.71</v>
          </cell>
        </row>
        <row r="1520">
          <cell r="D1520">
            <v>9108.4</v>
          </cell>
          <cell r="H1520">
            <v>37.74</v>
          </cell>
        </row>
        <row r="1521">
          <cell r="D1521">
            <v>9158.36</v>
          </cell>
          <cell r="H1521">
            <v>14.82</v>
          </cell>
        </row>
        <row r="1522">
          <cell r="D1522">
            <v>9158.36</v>
          </cell>
          <cell r="H1522">
            <v>20.2</v>
          </cell>
        </row>
        <row r="1523">
          <cell r="D1523">
            <v>9158.3700000000008</v>
          </cell>
          <cell r="H1523">
            <v>9.4600000000000009</v>
          </cell>
        </row>
        <row r="1524">
          <cell r="D1524">
            <v>9158.3700000000008</v>
          </cell>
          <cell r="H1524">
            <v>20.36</v>
          </cell>
        </row>
        <row r="1525">
          <cell r="D1525">
            <v>9158.3799999999992</v>
          </cell>
          <cell r="H1525">
            <v>9.34</v>
          </cell>
        </row>
        <row r="1526">
          <cell r="D1526">
            <v>9158.4</v>
          </cell>
          <cell r="H1526">
            <v>34.020000000000003</v>
          </cell>
        </row>
        <row r="1527">
          <cell r="D1527">
            <v>9158.4</v>
          </cell>
          <cell r="H1527">
            <v>14.96</v>
          </cell>
        </row>
        <row r="1528">
          <cell r="D1528">
            <v>9158.4</v>
          </cell>
          <cell r="H1528">
            <v>33.99</v>
          </cell>
        </row>
        <row r="1529">
          <cell r="D1529">
            <v>9208.36</v>
          </cell>
          <cell r="H1529">
            <v>12.81</v>
          </cell>
        </row>
        <row r="1530">
          <cell r="D1530">
            <v>9208.36</v>
          </cell>
          <cell r="H1530">
            <v>18.13</v>
          </cell>
        </row>
        <row r="1531">
          <cell r="D1531">
            <v>9208.3700000000008</v>
          </cell>
          <cell r="H1531">
            <v>7.67</v>
          </cell>
        </row>
        <row r="1532">
          <cell r="D1532">
            <v>9208.3700000000008</v>
          </cell>
          <cell r="H1532">
            <v>18.48</v>
          </cell>
        </row>
        <row r="1533">
          <cell r="D1533">
            <v>9208.3799999999992</v>
          </cell>
          <cell r="H1533">
            <v>7.37</v>
          </cell>
        </row>
        <row r="1534">
          <cell r="D1534">
            <v>9208.4</v>
          </cell>
          <cell r="H1534">
            <v>32.18</v>
          </cell>
        </row>
        <row r="1535">
          <cell r="D1535">
            <v>9208.4</v>
          </cell>
          <cell r="H1535">
            <v>13.15</v>
          </cell>
        </row>
        <row r="1536">
          <cell r="D1536">
            <v>9208.4</v>
          </cell>
          <cell r="H1536">
            <v>31.88</v>
          </cell>
        </row>
        <row r="1537">
          <cell r="D1537">
            <v>9258.36</v>
          </cell>
          <cell r="H1537">
            <v>13.54</v>
          </cell>
        </row>
        <row r="1538">
          <cell r="D1538">
            <v>9258.36</v>
          </cell>
          <cell r="H1538">
            <v>18.829999999999998</v>
          </cell>
        </row>
        <row r="1539">
          <cell r="D1539">
            <v>9258.3700000000008</v>
          </cell>
          <cell r="H1539">
            <v>7.77</v>
          </cell>
        </row>
        <row r="1540">
          <cell r="D1540">
            <v>9258.3700000000008</v>
          </cell>
          <cell r="H1540">
            <v>18.579999999999998</v>
          </cell>
        </row>
        <row r="1541">
          <cell r="D1541">
            <v>9258.3799999999992</v>
          </cell>
          <cell r="H1541">
            <v>8.09</v>
          </cell>
        </row>
        <row r="1542">
          <cell r="D1542">
            <v>9258.4</v>
          </cell>
          <cell r="H1542">
            <v>32.76</v>
          </cell>
        </row>
        <row r="1543">
          <cell r="D1543">
            <v>9258.4</v>
          </cell>
          <cell r="H1543">
            <v>13.27</v>
          </cell>
        </row>
        <row r="1544">
          <cell r="D1544">
            <v>9258.4</v>
          </cell>
          <cell r="H1544">
            <v>32.64</v>
          </cell>
        </row>
        <row r="1545">
          <cell r="D1545">
            <v>9308.36</v>
          </cell>
          <cell r="H1545">
            <v>15.56</v>
          </cell>
        </row>
        <row r="1546">
          <cell r="D1546">
            <v>9308.36</v>
          </cell>
          <cell r="H1546">
            <v>20.86</v>
          </cell>
        </row>
        <row r="1547">
          <cell r="D1547">
            <v>9308.3700000000008</v>
          </cell>
          <cell r="H1547">
            <v>9.49</v>
          </cell>
        </row>
        <row r="1548">
          <cell r="D1548">
            <v>9308.3700000000008</v>
          </cell>
          <cell r="H1548">
            <v>20.309999999999999</v>
          </cell>
        </row>
        <row r="1549">
          <cell r="D1549">
            <v>9308.3799999999992</v>
          </cell>
          <cell r="H1549">
            <v>10.14</v>
          </cell>
        </row>
        <row r="1550">
          <cell r="D1550">
            <v>9308.4</v>
          </cell>
          <cell r="H1550">
            <v>34.5</v>
          </cell>
        </row>
        <row r="1551">
          <cell r="D1551">
            <v>9308.4</v>
          </cell>
          <cell r="H1551">
            <v>14.99</v>
          </cell>
        </row>
        <row r="1552">
          <cell r="D1552">
            <v>9308.4</v>
          </cell>
          <cell r="H1552">
            <v>34.619999999999997</v>
          </cell>
        </row>
        <row r="1553">
          <cell r="D1553">
            <v>9358.36</v>
          </cell>
          <cell r="H1553">
            <v>17.63</v>
          </cell>
        </row>
        <row r="1554">
          <cell r="D1554">
            <v>9358.36</v>
          </cell>
          <cell r="H1554">
            <v>22.98</v>
          </cell>
        </row>
        <row r="1555">
          <cell r="D1555">
            <v>9358.3700000000008</v>
          </cell>
          <cell r="H1555">
            <v>11.3</v>
          </cell>
        </row>
        <row r="1556">
          <cell r="D1556">
            <v>9358.3700000000008</v>
          </cell>
          <cell r="H1556">
            <v>22.16</v>
          </cell>
        </row>
        <row r="1557">
          <cell r="D1557">
            <v>9358.3799999999992</v>
          </cell>
          <cell r="H1557">
            <v>12.21</v>
          </cell>
        </row>
        <row r="1558">
          <cell r="D1558">
            <v>9358.4</v>
          </cell>
          <cell r="H1558">
            <v>36.15</v>
          </cell>
        </row>
        <row r="1559">
          <cell r="D1559">
            <v>9358.4</v>
          </cell>
          <cell r="H1559">
            <v>16.8</v>
          </cell>
        </row>
        <row r="1560">
          <cell r="D1560">
            <v>9358.4</v>
          </cell>
          <cell r="H1560">
            <v>36.270000000000003</v>
          </cell>
        </row>
        <row r="1561">
          <cell r="D1561">
            <v>9408.36</v>
          </cell>
          <cell r="H1561">
            <v>21.85</v>
          </cell>
        </row>
        <row r="1562">
          <cell r="D1562">
            <v>9408.36</v>
          </cell>
          <cell r="H1562">
            <v>27.29</v>
          </cell>
        </row>
        <row r="1563">
          <cell r="D1563">
            <v>9408.3700000000008</v>
          </cell>
          <cell r="H1563">
            <v>15.55</v>
          </cell>
        </row>
        <row r="1564">
          <cell r="D1564">
            <v>9408.3700000000008</v>
          </cell>
          <cell r="H1564">
            <v>26.53</v>
          </cell>
        </row>
        <row r="1565">
          <cell r="D1565">
            <v>9408.3799999999992</v>
          </cell>
          <cell r="H1565">
            <v>16.39</v>
          </cell>
        </row>
        <row r="1566">
          <cell r="D1566">
            <v>9408.4</v>
          </cell>
          <cell r="H1566">
            <v>40.53</v>
          </cell>
        </row>
        <row r="1567">
          <cell r="D1567">
            <v>9408.4</v>
          </cell>
          <cell r="H1567">
            <v>21.09</v>
          </cell>
        </row>
        <row r="1568">
          <cell r="D1568">
            <v>9408.4</v>
          </cell>
          <cell r="H1568">
            <v>40.72</v>
          </cell>
        </row>
        <row r="1569">
          <cell r="D1569">
            <v>9429.2900000000009</v>
          </cell>
          <cell r="H1569">
            <v>42.17</v>
          </cell>
        </row>
        <row r="1570">
          <cell r="D1570">
            <v>9429.2900000000009</v>
          </cell>
          <cell r="H1570">
            <v>41.99</v>
          </cell>
        </row>
        <row r="1571">
          <cell r="D1571">
            <v>9429.34</v>
          </cell>
          <cell r="H1571">
            <v>28.26</v>
          </cell>
        </row>
        <row r="1572">
          <cell r="D1572">
            <v>9429.34</v>
          </cell>
          <cell r="H1572">
            <v>22.78</v>
          </cell>
        </row>
        <row r="1573">
          <cell r="D1573">
            <v>9429.3700000000008</v>
          </cell>
          <cell r="H1573">
            <v>17.32</v>
          </cell>
        </row>
        <row r="1574">
          <cell r="D1574">
            <v>9429.3700000000008</v>
          </cell>
          <cell r="H1574">
            <v>18.059999999999999</v>
          </cell>
        </row>
        <row r="1575">
          <cell r="D1575">
            <v>9429.42</v>
          </cell>
          <cell r="H1575">
            <v>28.98</v>
          </cell>
        </row>
        <row r="1576">
          <cell r="D1576">
            <v>9429.4699999999993</v>
          </cell>
          <cell r="H1576">
            <v>23.5</v>
          </cell>
        </row>
        <row r="1577">
          <cell r="D1577">
            <v>9479.2900000000009</v>
          </cell>
          <cell r="H1577">
            <v>41.69</v>
          </cell>
        </row>
        <row r="1578">
          <cell r="D1578">
            <v>9479.2999999999993</v>
          </cell>
          <cell r="H1578">
            <v>41.13</v>
          </cell>
        </row>
        <row r="1579">
          <cell r="D1579">
            <v>9479.34</v>
          </cell>
          <cell r="H1579">
            <v>28.66</v>
          </cell>
        </row>
        <row r="1580">
          <cell r="D1580">
            <v>9479.34</v>
          </cell>
          <cell r="H1580">
            <v>23.29</v>
          </cell>
        </row>
        <row r="1581">
          <cell r="D1581">
            <v>9479.3700000000008</v>
          </cell>
          <cell r="H1581">
            <v>17.829999999999998</v>
          </cell>
        </row>
        <row r="1582">
          <cell r="D1582">
            <v>9479.3700000000008</v>
          </cell>
          <cell r="H1582">
            <v>15.54</v>
          </cell>
        </row>
        <row r="1583">
          <cell r="D1583">
            <v>9479.42</v>
          </cell>
          <cell r="H1583">
            <v>26.46</v>
          </cell>
        </row>
        <row r="1584">
          <cell r="D1584">
            <v>9479.4699999999993</v>
          </cell>
          <cell r="H1584">
            <v>21.11</v>
          </cell>
        </row>
        <row r="1585">
          <cell r="D1585">
            <v>9529.2900000000009</v>
          </cell>
          <cell r="H1585">
            <v>34.44</v>
          </cell>
        </row>
        <row r="1586">
          <cell r="D1586">
            <v>9529.2999999999993</v>
          </cell>
          <cell r="H1586">
            <v>34.409999999999997</v>
          </cell>
        </row>
        <row r="1587">
          <cell r="D1587">
            <v>9529.34</v>
          </cell>
          <cell r="H1587">
            <v>22</v>
          </cell>
        </row>
        <row r="1588">
          <cell r="D1588">
            <v>9529.34</v>
          </cell>
          <cell r="H1588">
            <v>16.7</v>
          </cell>
        </row>
        <row r="1589">
          <cell r="D1589">
            <v>9529.3700000000008</v>
          </cell>
          <cell r="H1589">
            <v>11.26</v>
          </cell>
        </row>
        <row r="1590">
          <cell r="D1590">
            <v>9529.3700000000008</v>
          </cell>
          <cell r="H1590">
            <v>11.24</v>
          </cell>
        </row>
        <row r="1591">
          <cell r="D1591">
            <v>9529.42</v>
          </cell>
          <cell r="H1591">
            <v>21.92</v>
          </cell>
        </row>
        <row r="1592">
          <cell r="D1592">
            <v>9529.4699999999993</v>
          </cell>
          <cell r="H1592">
            <v>16.68</v>
          </cell>
        </row>
        <row r="1593">
          <cell r="D1593">
            <v>9579.2900000000009</v>
          </cell>
          <cell r="H1593">
            <v>32.14</v>
          </cell>
        </row>
        <row r="1594">
          <cell r="D1594">
            <v>9579.2999999999993</v>
          </cell>
          <cell r="H1594">
            <v>32.21</v>
          </cell>
        </row>
        <row r="1595">
          <cell r="D1595">
            <v>9579.34</v>
          </cell>
          <cell r="H1595">
            <v>18.77</v>
          </cell>
        </row>
        <row r="1596">
          <cell r="D1596">
            <v>9579.34</v>
          </cell>
          <cell r="H1596">
            <v>13.52</v>
          </cell>
        </row>
        <row r="1597">
          <cell r="D1597">
            <v>9579.3700000000008</v>
          </cell>
          <cell r="H1597">
            <v>8.08</v>
          </cell>
        </row>
        <row r="1598">
          <cell r="D1598">
            <v>9579.3700000000008</v>
          </cell>
          <cell r="H1598">
            <v>7.55</v>
          </cell>
        </row>
        <row r="1599">
          <cell r="D1599">
            <v>9579.42</v>
          </cell>
          <cell r="H1599">
            <v>18.32</v>
          </cell>
        </row>
        <row r="1600">
          <cell r="D1600">
            <v>9579.4699999999993</v>
          </cell>
          <cell r="H1600">
            <v>13.12</v>
          </cell>
        </row>
        <row r="1601">
          <cell r="D1601">
            <v>9629.2900000000009</v>
          </cell>
          <cell r="H1601">
            <v>37.07</v>
          </cell>
        </row>
        <row r="1602">
          <cell r="D1602">
            <v>9629.2999999999993</v>
          </cell>
          <cell r="H1602">
            <v>35.65</v>
          </cell>
        </row>
        <row r="1603">
          <cell r="D1603">
            <v>9629.34</v>
          </cell>
          <cell r="H1603">
            <v>23.61</v>
          </cell>
        </row>
        <row r="1604">
          <cell r="D1604">
            <v>9629.34</v>
          </cell>
          <cell r="H1604">
            <v>18.350000000000001</v>
          </cell>
        </row>
        <row r="1605">
          <cell r="D1605">
            <v>9629.3700000000008</v>
          </cell>
          <cell r="H1605">
            <v>12.84</v>
          </cell>
        </row>
        <row r="1606">
          <cell r="D1606">
            <v>9629.3700000000008</v>
          </cell>
          <cell r="H1606">
            <v>10.38</v>
          </cell>
        </row>
        <row r="1607">
          <cell r="D1607">
            <v>9629.42</v>
          </cell>
          <cell r="H1607">
            <v>21.12</v>
          </cell>
        </row>
        <row r="1608">
          <cell r="D1608">
            <v>9629.4699999999993</v>
          </cell>
          <cell r="H1608">
            <v>15.93</v>
          </cell>
        </row>
        <row r="1609">
          <cell r="D1609">
            <v>9679.2900000000009</v>
          </cell>
          <cell r="H1609">
            <v>35.79</v>
          </cell>
        </row>
        <row r="1610">
          <cell r="D1610">
            <v>9679.2999999999993</v>
          </cell>
          <cell r="H1610">
            <v>36.82</v>
          </cell>
        </row>
        <row r="1611">
          <cell r="D1611">
            <v>9679.34</v>
          </cell>
          <cell r="H1611">
            <v>21.76</v>
          </cell>
        </row>
        <row r="1612">
          <cell r="D1612">
            <v>9679.34</v>
          </cell>
          <cell r="H1612">
            <v>16.489999999999998</v>
          </cell>
        </row>
        <row r="1613">
          <cell r="D1613">
            <v>9679.3700000000008</v>
          </cell>
          <cell r="H1613">
            <v>11.09</v>
          </cell>
        </row>
        <row r="1614">
          <cell r="D1614">
            <v>9679.3700000000008</v>
          </cell>
          <cell r="H1614">
            <v>13.27</v>
          </cell>
        </row>
        <row r="1615">
          <cell r="D1615">
            <v>9679.42</v>
          </cell>
          <cell r="H1615">
            <v>24.33</v>
          </cell>
        </row>
        <row r="1616">
          <cell r="D1616">
            <v>9679.4699999999993</v>
          </cell>
          <cell r="H1616">
            <v>19.03</v>
          </cell>
        </row>
        <row r="1617">
          <cell r="D1617">
            <v>9729.2900000000009</v>
          </cell>
          <cell r="H1617">
            <v>36.54</v>
          </cell>
        </row>
        <row r="1618">
          <cell r="D1618">
            <v>9729.2999999999993</v>
          </cell>
          <cell r="H1618">
            <v>36.46</v>
          </cell>
        </row>
        <row r="1619">
          <cell r="D1619">
            <v>9729.34</v>
          </cell>
          <cell r="H1619">
            <v>23.29</v>
          </cell>
        </row>
        <row r="1620">
          <cell r="D1620">
            <v>9729.34</v>
          </cell>
          <cell r="H1620">
            <v>17.96</v>
          </cell>
        </row>
        <row r="1621">
          <cell r="D1621">
            <v>9729.3700000000008</v>
          </cell>
          <cell r="H1621">
            <v>12.51</v>
          </cell>
        </row>
        <row r="1622">
          <cell r="D1622">
            <v>9729.3700000000008</v>
          </cell>
          <cell r="H1622">
            <v>11.99</v>
          </cell>
        </row>
        <row r="1623">
          <cell r="D1623">
            <v>9729.42</v>
          </cell>
          <cell r="H1623">
            <v>22.83</v>
          </cell>
        </row>
        <row r="1624">
          <cell r="D1624">
            <v>9729.4699999999993</v>
          </cell>
          <cell r="H1624">
            <v>17.52</v>
          </cell>
        </row>
        <row r="1625">
          <cell r="D1625">
            <v>9779.2900000000009</v>
          </cell>
          <cell r="H1625">
            <v>38.07</v>
          </cell>
        </row>
        <row r="1626">
          <cell r="D1626">
            <v>9779.2999999999993</v>
          </cell>
          <cell r="H1626">
            <v>37.729999999999997</v>
          </cell>
        </row>
        <row r="1627">
          <cell r="D1627">
            <v>9779.34</v>
          </cell>
          <cell r="H1627">
            <v>25.07</v>
          </cell>
        </row>
        <row r="1628">
          <cell r="D1628">
            <v>9779.34</v>
          </cell>
          <cell r="H1628">
            <v>19.7</v>
          </cell>
        </row>
        <row r="1629">
          <cell r="D1629">
            <v>9779.3700000000008</v>
          </cell>
          <cell r="H1629">
            <v>14.41</v>
          </cell>
        </row>
        <row r="1630">
          <cell r="D1630">
            <v>9779.3700000000008</v>
          </cell>
          <cell r="H1630">
            <v>13.47</v>
          </cell>
        </row>
        <row r="1631">
          <cell r="D1631">
            <v>9779.42</v>
          </cell>
          <cell r="H1631">
            <v>24.52</v>
          </cell>
        </row>
        <row r="1632">
          <cell r="D1632">
            <v>9779.4699999999993</v>
          </cell>
          <cell r="H1632">
            <v>19.07</v>
          </cell>
        </row>
        <row r="1633">
          <cell r="D1633">
            <v>9796.4500000000007</v>
          </cell>
          <cell r="H1633">
            <v>37.880000000000003</v>
          </cell>
        </row>
        <row r="1634">
          <cell r="D1634">
            <v>9797.2800000000007</v>
          </cell>
          <cell r="H1634">
            <v>37.950000000000003</v>
          </cell>
        </row>
        <row r="1635">
          <cell r="D1635">
            <v>9798.5300000000007</v>
          </cell>
          <cell r="H1635">
            <v>24.34</v>
          </cell>
        </row>
        <row r="1636">
          <cell r="D1636">
            <v>9798.61</v>
          </cell>
          <cell r="H1636">
            <v>18.850000000000001</v>
          </cell>
        </row>
        <row r="1637">
          <cell r="D1637">
            <v>9798.69</v>
          </cell>
          <cell r="H1637">
            <v>13.34</v>
          </cell>
        </row>
        <row r="1638">
          <cell r="D1638">
            <v>9800.86</v>
          </cell>
          <cell r="H1638">
            <v>24.62</v>
          </cell>
        </row>
        <row r="1639">
          <cell r="D1639">
            <v>9801.06</v>
          </cell>
          <cell r="H1639">
            <v>19.18</v>
          </cell>
        </row>
        <row r="1640">
          <cell r="D1640">
            <v>9801.41</v>
          </cell>
          <cell r="H1640">
            <v>13.74</v>
          </cell>
        </row>
        <row r="1641">
          <cell r="D1641">
            <v>9846.4500000000007</v>
          </cell>
          <cell r="H1641">
            <v>34.549999999999997</v>
          </cell>
        </row>
        <row r="1642">
          <cell r="D1642">
            <v>9847.2800000000007</v>
          </cell>
          <cell r="H1642">
            <v>34.770000000000003</v>
          </cell>
        </row>
        <row r="1643">
          <cell r="D1643">
            <v>9848.5300000000007</v>
          </cell>
          <cell r="H1643">
            <v>20.48</v>
          </cell>
        </row>
        <row r="1644">
          <cell r="D1644">
            <v>9848.61</v>
          </cell>
          <cell r="H1644">
            <v>15.05</v>
          </cell>
        </row>
        <row r="1645">
          <cell r="D1645">
            <v>9848.69</v>
          </cell>
          <cell r="H1645">
            <v>9.4700000000000006</v>
          </cell>
        </row>
        <row r="1646">
          <cell r="D1646">
            <v>9850.86</v>
          </cell>
          <cell r="H1646">
            <v>21.29</v>
          </cell>
        </row>
        <row r="1647">
          <cell r="D1647">
            <v>9851.06</v>
          </cell>
          <cell r="H1647">
            <v>15.76</v>
          </cell>
        </row>
        <row r="1648">
          <cell r="D1648">
            <v>9851.41</v>
          </cell>
          <cell r="H1648">
            <v>10.31</v>
          </cell>
        </row>
        <row r="1649">
          <cell r="D1649">
            <v>9896.4500000000007</v>
          </cell>
          <cell r="H1649">
            <v>33.22</v>
          </cell>
        </row>
        <row r="1650">
          <cell r="D1650">
            <v>9897.2800000000007</v>
          </cell>
          <cell r="H1650">
            <v>33.22</v>
          </cell>
        </row>
        <row r="1651">
          <cell r="D1651">
            <v>9898.5300000000007</v>
          </cell>
          <cell r="H1651">
            <v>19.25</v>
          </cell>
        </row>
        <row r="1652">
          <cell r="D1652">
            <v>9898.61</v>
          </cell>
          <cell r="H1652">
            <v>13.88</v>
          </cell>
        </row>
        <row r="1653">
          <cell r="D1653">
            <v>9898.69</v>
          </cell>
          <cell r="H1653">
            <v>8.3000000000000007</v>
          </cell>
        </row>
        <row r="1654">
          <cell r="D1654">
            <v>9900.86</v>
          </cell>
          <cell r="H1654">
            <v>19.59</v>
          </cell>
        </row>
        <row r="1655">
          <cell r="D1655">
            <v>9901.06</v>
          </cell>
          <cell r="H1655">
            <v>14.04</v>
          </cell>
        </row>
        <row r="1656">
          <cell r="D1656">
            <v>9901.41</v>
          </cell>
          <cell r="H1656">
            <v>8.56</v>
          </cell>
        </row>
        <row r="1657">
          <cell r="D1657">
            <v>9946.4500000000007</v>
          </cell>
          <cell r="H1657">
            <v>36.29</v>
          </cell>
        </row>
        <row r="1658">
          <cell r="D1658">
            <v>9947.2800000000007</v>
          </cell>
          <cell r="H1658">
            <v>36.479999999999997</v>
          </cell>
        </row>
        <row r="1659">
          <cell r="D1659">
            <v>9948.5300000000007</v>
          </cell>
          <cell r="H1659">
            <v>21.01</v>
          </cell>
        </row>
        <row r="1660">
          <cell r="D1660">
            <v>9948.61</v>
          </cell>
          <cell r="H1660">
            <v>15.64</v>
          </cell>
        </row>
        <row r="1661">
          <cell r="D1661">
            <v>9948.69</v>
          </cell>
          <cell r="H1661">
            <v>9.9700000000000006</v>
          </cell>
        </row>
        <row r="1662">
          <cell r="D1662">
            <v>9950.85</v>
          </cell>
          <cell r="H1662">
            <v>23.94</v>
          </cell>
        </row>
        <row r="1663">
          <cell r="D1663">
            <v>9951.06</v>
          </cell>
          <cell r="H1663">
            <v>18.43</v>
          </cell>
        </row>
        <row r="1664">
          <cell r="D1664">
            <v>9951.41</v>
          </cell>
          <cell r="H1664">
            <v>13.13</v>
          </cell>
        </row>
        <row r="1665">
          <cell r="D1665">
            <v>9996.4500000000007</v>
          </cell>
          <cell r="H1665">
            <v>35.21</v>
          </cell>
        </row>
        <row r="1666">
          <cell r="D1666">
            <v>9997.2800000000007</v>
          </cell>
          <cell r="H1666">
            <v>35.229999999999997</v>
          </cell>
        </row>
        <row r="1667">
          <cell r="D1667">
            <v>9998.5300000000007</v>
          </cell>
          <cell r="H1667">
            <v>20.82</v>
          </cell>
        </row>
        <row r="1668">
          <cell r="D1668">
            <v>9998.61</v>
          </cell>
          <cell r="H1668">
            <v>15.46</v>
          </cell>
        </row>
        <row r="1669">
          <cell r="D1669">
            <v>9998.69</v>
          </cell>
          <cell r="H1669">
            <v>9.7899999999999991</v>
          </cell>
        </row>
        <row r="1670">
          <cell r="D1670">
            <v>10000.85</v>
          </cell>
          <cell r="H1670">
            <v>21.26</v>
          </cell>
        </row>
        <row r="1671">
          <cell r="D1671">
            <v>10001.06</v>
          </cell>
          <cell r="H1671">
            <v>15.59</v>
          </cell>
        </row>
        <row r="1672">
          <cell r="D1672">
            <v>10001.4</v>
          </cell>
          <cell r="H1672">
            <v>10.039999999999999</v>
          </cell>
        </row>
        <row r="1673">
          <cell r="D1673">
            <v>10046.450000000001</v>
          </cell>
          <cell r="H1673">
            <v>37.72</v>
          </cell>
        </row>
        <row r="1674">
          <cell r="D1674">
            <v>10047.280000000001</v>
          </cell>
          <cell r="H1674">
            <v>37.74</v>
          </cell>
        </row>
        <row r="1675">
          <cell r="D1675">
            <v>10048.530000000001</v>
          </cell>
          <cell r="H1675">
            <v>23.24</v>
          </cell>
        </row>
        <row r="1676">
          <cell r="D1676">
            <v>10048.61</v>
          </cell>
          <cell r="H1676">
            <v>17.84</v>
          </cell>
        </row>
        <row r="1677">
          <cell r="D1677">
            <v>10048.69</v>
          </cell>
          <cell r="H1677">
            <v>12.15</v>
          </cell>
        </row>
        <row r="1678">
          <cell r="D1678">
            <v>10050.85</v>
          </cell>
          <cell r="H1678">
            <v>23.59</v>
          </cell>
        </row>
        <row r="1679">
          <cell r="D1679">
            <v>10051.06</v>
          </cell>
          <cell r="H1679">
            <v>17.87</v>
          </cell>
        </row>
        <row r="1680">
          <cell r="D1680">
            <v>10051.4</v>
          </cell>
          <cell r="H1680">
            <v>12.27</v>
          </cell>
        </row>
        <row r="1681">
          <cell r="D1681">
            <v>10096.450000000001</v>
          </cell>
          <cell r="H1681">
            <v>42.32</v>
          </cell>
        </row>
        <row r="1682">
          <cell r="D1682">
            <v>10097.280000000001</v>
          </cell>
          <cell r="H1682">
            <v>42.91</v>
          </cell>
        </row>
        <row r="1683">
          <cell r="D1683">
            <v>10098.530000000001</v>
          </cell>
          <cell r="H1683">
            <v>29.45</v>
          </cell>
        </row>
        <row r="1684">
          <cell r="D1684">
            <v>10098.61</v>
          </cell>
          <cell r="H1684">
            <v>24.08</v>
          </cell>
        </row>
        <row r="1685">
          <cell r="D1685">
            <v>10098.69</v>
          </cell>
          <cell r="H1685">
            <v>18.440000000000001</v>
          </cell>
        </row>
        <row r="1686">
          <cell r="D1686">
            <v>10100.85</v>
          </cell>
          <cell r="H1686">
            <v>30.63</v>
          </cell>
        </row>
        <row r="1687">
          <cell r="D1687">
            <v>10101.049999999999</v>
          </cell>
          <cell r="H1687">
            <v>24.87</v>
          </cell>
        </row>
        <row r="1688">
          <cell r="D1688">
            <v>10101.4</v>
          </cell>
          <cell r="H1688">
            <v>19.239999999999998</v>
          </cell>
        </row>
        <row r="1689">
          <cell r="D1689">
            <v>10146.450000000001</v>
          </cell>
          <cell r="H1689">
            <v>42.61</v>
          </cell>
        </row>
        <row r="1690">
          <cell r="D1690">
            <v>10147.280000000001</v>
          </cell>
          <cell r="H1690">
            <v>43.05</v>
          </cell>
        </row>
        <row r="1691">
          <cell r="D1691">
            <v>10148.530000000001</v>
          </cell>
          <cell r="H1691">
            <v>27.96</v>
          </cell>
        </row>
        <row r="1692">
          <cell r="D1692">
            <v>10148.61</v>
          </cell>
          <cell r="H1692">
            <v>22.36</v>
          </cell>
        </row>
        <row r="1693">
          <cell r="D1693">
            <v>10148.69</v>
          </cell>
          <cell r="H1693">
            <v>16.53</v>
          </cell>
        </row>
        <row r="1694">
          <cell r="D1694">
            <v>10150.85</v>
          </cell>
          <cell r="H1694">
            <v>29.39</v>
          </cell>
        </row>
        <row r="1695">
          <cell r="D1695">
            <v>10151.049999999999</v>
          </cell>
          <cell r="H1695">
            <v>23.57</v>
          </cell>
        </row>
        <row r="1696">
          <cell r="D1696">
            <v>10151.4</v>
          </cell>
          <cell r="H1696">
            <v>17.91</v>
          </cell>
        </row>
        <row r="1697">
          <cell r="D1697">
            <v>10196.450000000001</v>
          </cell>
          <cell r="H1697">
            <v>45.94</v>
          </cell>
        </row>
        <row r="1698">
          <cell r="D1698">
            <v>10197.280000000001</v>
          </cell>
          <cell r="H1698">
            <v>48.31</v>
          </cell>
        </row>
        <row r="1699">
          <cell r="D1699">
            <v>10198.530000000001</v>
          </cell>
          <cell r="H1699">
            <v>29.8</v>
          </cell>
        </row>
        <row r="1700">
          <cell r="D1700">
            <v>10198.61</v>
          </cell>
          <cell r="H1700">
            <v>24.07</v>
          </cell>
        </row>
        <row r="1701">
          <cell r="D1701">
            <v>10198.69</v>
          </cell>
          <cell r="H1701">
            <v>18.07</v>
          </cell>
        </row>
        <row r="1702">
          <cell r="D1702">
            <v>10200.85</v>
          </cell>
          <cell r="H1702">
            <v>36.270000000000003</v>
          </cell>
        </row>
        <row r="1703">
          <cell r="D1703">
            <v>10201.049999999999</v>
          </cell>
          <cell r="H1703">
            <v>30.44</v>
          </cell>
        </row>
        <row r="1704">
          <cell r="D1704">
            <v>10201.4</v>
          </cell>
          <cell r="H1704">
            <v>24.75</v>
          </cell>
        </row>
        <row r="1705">
          <cell r="D1705">
            <v>10246.450000000001</v>
          </cell>
          <cell r="H1705">
            <v>46.75</v>
          </cell>
        </row>
        <row r="1706">
          <cell r="D1706">
            <v>10247.280000000001</v>
          </cell>
          <cell r="H1706">
            <v>47.05</v>
          </cell>
        </row>
        <row r="1707">
          <cell r="D1707">
            <v>10248.530000000001</v>
          </cell>
          <cell r="H1707">
            <v>32.89</v>
          </cell>
        </row>
        <row r="1708">
          <cell r="D1708">
            <v>10248.61</v>
          </cell>
          <cell r="H1708">
            <v>27.12</v>
          </cell>
        </row>
        <row r="1709">
          <cell r="D1709">
            <v>10248.69</v>
          </cell>
          <cell r="H1709">
            <v>21.23</v>
          </cell>
        </row>
        <row r="1710">
          <cell r="D1710">
            <v>10250.85</v>
          </cell>
          <cell r="H1710">
            <v>33.979999999999997</v>
          </cell>
        </row>
        <row r="1711">
          <cell r="D1711">
            <v>10251.049999999999</v>
          </cell>
          <cell r="H1711">
            <v>28.11</v>
          </cell>
        </row>
        <row r="1712">
          <cell r="D1712">
            <v>10251.4</v>
          </cell>
          <cell r="H1712">
            <v>22.34</v>
          </cell>
        </row>
        <row r="1713">
          <cell r="D1713">
            <v>10296.450000000001</v>
          </cell>
          <cell r="H1713">
            <v>48.43</v>
          </cell>
        </row>
        <row r="1714">
          <cell r="D1714">
            <v>10297.280000000001</v>
          </cell>
          <cell r="H1714">
            <v>48.86</v>
          </cell>
        </row>
        <row r="1715">
          <cell r="D1715">
            <v>10298.530000000001</v>
          </cell>
          <cell r="H1715">
            <v>35.17</v>
          </cell>
        </row>
        <row r="1716">
          <cell r="D1716">
            <v>10298.61</v>
          </cell>
          <cell r="H1716">
            <v>29.23</v>
          </cell>
        </row>
        <row r="1717">
          <cell r="D1717">
            <v>10298.69</v>
          </cell>
          <cell r="H1717">
            <v>23.29</v>
          </cell>
        </row>
        <row r="1718">
          <cell r="D1718">
            <v>10300.85</v>
          </cell>
          <cell r="H1718">
            <v>36.19</v>
          </cell>
        </row>
        <row r="1719">
          <cell r="D1719">
            <v>10301.049999999999</v>
          </cell>
          <cell r="H1719">
            <v>30.3</v>
          </cell>
        </row>
        <row r="1720">
          <cell r="D1720">
            <v>10301.629999999999</v>
          </cell>
          <cell r="H1720">
            <v>49.94</v>
          </cell>
        </row>
        <row r="1721">
          <cell r="D1721">
            <v>10301.629999999999</v>
          </cell>
          <cell r="H1721">
            <v>36.31</v>
          </cell>
        </row>
        <row r="1722">
          <cell r="D1722">
            <v>10301.629999999999</v>
          </cell>
          <cell r="H1722">
            <v>30.38</v>
          </cell>
        </row>
        <row r="1723">
          <cell r="D1723">
            <v>10301.629999999999</v>
          </cell>
          <cell r="H1723">
            <v>24.45</v>
          </cell>
        </row>
        <row r="1724">
          <cell r="D1724">
            <v>10301.74</v>
          </cell>
          <cell r="H1724">
            <v>49.92</v>
          </cell>
        </row>
        <row r="1725">
          <cell r="D1725">
            <v>10302.02</v>
          </cell>
          <cell r="H1725">
            <v>36.299999999999997</v>
          </cell>
        </row>
        <row r="1726">
          <cell r="D1726">
            <v>10302.049999999999</v>
          </cell>
          <cell r="H1726">
            <v>30.36</v>
          </cell>
        </row>
        <row r="1727">
          <cell r="D1727">
            <v>10302.11</v>
          </cell>
          <cell r="H1727">
            <v>24.44</v>
          </cell>
        </row>
        <row r="1728">
          <cell r="D1728">
            <v>10351.290000000001</v>
          </cell>
          <cell r="H1728">
            <v>15.98</v>
          </cell>
        </row>
        <row r="1729">
          <cell r="D1729">
            <v>10351.290000000001</v>
          </cell>
          <cell r="H1729">
            <v>27.6</v>
          </cell>
        </row>
        <row r="1730">
          <cell r="D1730">
            <v>10351.31</v>
          </cell>
          <cell r="H1730">
            <v>21.86</v>
          </cell>
        </row>
        <row r="1731">
          <cell r="D1731">
            <v>10351.52</v>
          </cell>
          <cell r="H1731">
            <v>41.9</v>
          </cell>
        </row>
        <row r="1732">
          <cell r="D1732">
            <v>10351.74</v>
          </cell>
          <cell r="H1732">
            <v>41.83</v>
          </cell>
        </row>
        <row r="1733">
          <cell r="D1733">
            <v>10352.02</v>
          </cell>
          <cell r="H1733">
            <v>27.88</v>
          </cell>
        </row>
        <row r="1734">
          <cell r="D1734">
            <v>10352.049999999999</v>
          </cell>
          <cell r="H1734">
            <v>21.99</v>
          </cell>
        </row>
        <row r="1735">
          <cell r="D1735">
            <v>10352.11</v>
          </cell>
          <cell r="H1735">
            <v>16.21</v>
          </cell>
        </row>
        <row r="1736">
          <cell r="D1736">
            <v>10401.290000000001</v>
          </cell>
          <cell r="H1736">
            <v>17.14</v>
          </cell>
        </row>
        <row r="1737">
          <cell r="D1737">
            <v>10401.290000000001</v>
          </cell>
          <cell r="H1737">
            <v>28.62</v>
          </cell>
        </row>
        <row r="1738">
          <cell r="D1738">
            <v>10401.31</v>
          </cell>
          <cell r="H1738">
            <v>23.03</v>
          </cell>
        </row>
        <row r="1739">
          <cell r="D1739">
            <v>10401.52</v>
          </cell>
          <cell r="H1739">
            <v>43.33</v>
          </cell>
        </row>
        <row r="1740">
          <cell r="D1740">
            <v>10401.74</v>
          </cell>
          <cell r="H1740">
            <v>43.44</v>
          </cell>
        </row>
        <row r="1741">
          <cell r="D1741">
            <v>10402.02</v>
          </cell>
          <cell r="H1741">
            <v>29.03</v>
          </cell>
        </row>
        <row r="1742">
          <cell r="D1742">
            <v>10402.049999999999</v>
          </cell>
          <cell r="H1742">
            <v>23.2</v>
          </cell>
        </row>
        <row r="1743">
          <cell r="D1743">
            <v>10402.11</v>
          </cell>
          <cell r="H1743">
            <v>17.54</v>
          </cell>
        </row>
        <row r="1744">
          <cell r="D1744">
            <v>10451.290000000001</v>
          </cell>
          <cell r="H1744">
            <v>13.97</v>
          </cell>
        </row>
        <row r="1745">
          <cell r="D1745">
            <v>10451.290000000001</v>
          </cell>
          <cell r="H1745">
            <v>25.21</v>
          </cell>
        </row>
        <row r="1746">
          <cell r="D1746">
            <v>10451.31</v>
          </cell>
          <cell r="H1746">
            <v>19.78</v>
          </cell>
        </row>
        <row r="1747">
          <cell r="D1747">
            <v>10451.52</v>
          </cell>
          <cell r="H1747">
            <v>40.35</v>
          </cell>
        </row>
        <row r="1748">
          <cell r="D1748">
            <v>10451.74</v>
          </cell>
          <cell r="H1748">
            <v>40.380000000000003</v>
          </cell>
        </row>
        <row r="1749">
          <cell r="D1749">
            <v>10452.02</v>
          </cell>
          <cell r="H1749">
            <v>26.05</v>
          </cell>
        </row>
        <row r="1750">
          <cell r="D1750">
            <v>10452.049999999999</v>
          </cell>
          <cell r="H1750">
            <v>20.29</v>
          </cell>
        </row>
        <row r="1751">
          <cell r="D1751">
            <v>10452.11</v>
          </cell>
          <cell r="H1751">
            <v>14.72</v>
          </cell>
        </row>
        <row r="1752">
          <cell r="D1752">
            <v>10501.29</v>
          </cell>
          <cell r="H1752">
            <v>11.79</v>
          </cell>
        </row>
        <row r="1753">
          <cell r="D1753">
            <v>10501.29</v>
          </cell>
          <cell r="H1753">
            <v>22.85</v>
          </cell>
        </row>
        <row r="1754">
          <cell r="D1754">
            <v>10501.31</v>
          </cell>
          <cell r="H1754">
            <v>17.53</v>
          </cell>
        </row>
        <row r="1755">
          <cell r="D1755">
            <v>10501.52</v>
          </cell>
          <cell r="H1755">
            <v>38.01</v>
          </cell>
        </row>
        <row r="1756">
          <cell r="D1756">
            <v>10501.74</v>
          </cell>
          <cell r="H1756">
            <v>37.869999999999997</v>
          </cell>
        </row>
        <row r="1757">
          <cell r="D1757">
            <v>10502.02</v>
          </cell>
          <cell r="H1757">
            <v>23.08</v>
          </cell>
        </row>
        <row r="1758">
          <cell r="D1758">
            <v>10502.05</v>
          </cell>
          <cell r="H1758">
            <v>17.34</v>
          </cell>
        </row>
        <row r="1759">
          <cell r="D1759">
            <v>10502.11</v>
          </cell>
          <cell r="H1759">
            <v>11.81</v>
          </cell>
        </row>
        <row r="1760">
          <cell r="D1760">
            <v>10551.29</v>
          </cell>
          <cell r="H1760">
            <v>13.59</v>
          </cell>
        </row>
        <row r="1761">
          <cell r="D1761">
            <v>10551.29</v>
          </cell>
          <cell r="H1761">
            <v>24.69</v>
          </cell>
        </row>
        <row r="1762">
          <cell r="D1762">
            <v>10551.31</v>
          </cell>
          <cell r="H1762">
            <v>19.39</v>
          </cell>
        </row>
        <row r="1763">
          <cell r="D1763">
            <v>10551.52</v>
          </cell>
          <cell r="H1763">
            <v>39.630000000000003</v>
          </cell>
        </row>
        <row r="1764">
          <cell r="D1764">
            <v>10551.74</v>
          </cell>
          <cell r="H1764">
            <v>39.47</v>
          </cell>
        </row>
        <row r="1765">
          <cell r="D1765">
            <v>10552.02</v>
          </cell>
          <cell r="H1765">
            <v>24.79</v>
          </cell>
        </row>
        <row r="1766">
          <cell r="D1766">
            <v>10552.05</v>
          </cell>
          <cell r="H1766">
            <v>19.09</v>
          </cell>
        </row>
        <row r="1767">
          <cell r="D1767">
            <v>10552.11</v>
          </cell>
          <cell r="H1767">
            <v>13.56</v>
          </cell>
        </row>
        <row r="1768">
          <cell r="D1768">
            <v>10601.29</v>
          </cell>
          <cell r="H1768">
            <v>11.49</v>
          </cell>
        </row>
        <row r="1769">
          <cell r="D1769">
            <v>10601.29</v>
          </cell>
          <cell r="H1769">
            <v>22.39</v>
          </cell>
        </row>
        <row r="1770">
          <cell r="D1770">
            <v>10601.31</v>
          </cell>
          <cell r="H1770">
            <v>17.2</v>
          </cell>
        </row>
        <row r="1771">
          <cell r="D1771">
            <v>10601.52</v>
          </cell>
          <cell r="H1771">
            <v>37.94</v>
          </cell>
        </row>
        <row r="1772">
          <cell r="D1772">
            <v>10601.74</v>
          </cell>
          <cell r="H1772">
            <v>38.08</v>
          </cell>
        </row>
        <row r="1773">
          <cell r="D1773">
            <v>10602.02</v>
          </cell>
          <cell r="H1773">
            <v>23.67</v>
          </cell>
        </row>
        <row r="1774">
          <cell r="D1774">
            <v>10602.05</v>
          </cell>
          <cell r="H1774">
            <v>18.03</v>
          </cell>
        </row>
        <row r="1775">
          <cell r="D1775">
            <v>10602.11</v>
          </cell>
          <cell r="H1775">
            <v>12.66</v>
          </cell>
        </row>
        <row r="1776">
          <cell r="D1776">
            <v>10651.29</v>
          </cell>
          <cell r="H1776">
            <v>11.33</v>
          </cell>
        </row>
        <row r="1777">
          <cell r="D1777">
            <v>10651.29</v>
          </cell>
          <cell r="H1777">
            <v>22.19</v>
          </cell>
        </row>
        <row r="1778">
          <cell r="D1778">
            <v>10651.31</v>
          </cell>
          <cell r="H1778">
            <v>17</v>
          </cell>
        </row>
        <row r="1779">
          <cell r="D1779">
            <v>10651.52</v>
          </cell>
          <cell r="H1779">
            <v>37.67</v>
          </cell>
        </row>
        <row r="1780">
          <cell r="D1780">
            <v>10651.74</v>
          </cell>
          <cell r="H1780">
            <v>37.799999999999997</v>
          </cell>
        </row>
        <row r="1781">
          <cell r="D1781">
            <v>10652.02</v>
          </cell>
          <cell r="H1781">
            <v>23.36</v>
          </cell>
        </row>
        <row r="1782">
          <cell r="D1782">
            <v>10652.05</v>
          </cell>
          <cell r="H1782">
            <v>17.760000000000002</v>
          </cell>
        </row>
        <row r="1783">
          <cell r="D1783">
            <v>10652.11</v>
          </cell>
          <cell r="H1783">
            <v>12.41</v>
          </cell>
        </row>
        <row r="1784">
          <cell r="D1784">
            <v>10701.29</v>
          </cell>
          <cell r="H1784">
            <v>14.45</v>
          </cell>
        </row>
        <row r="1785">
          <cell r="D1785">
            <v>10701.29</v>
          </cell>
          <cell r="H1785">
            <v>25.22</v>
          </cell>
        </row>
        <row r="1786">
          <cell r="D1786">
            <v>10701.31</v>
          </cell>
          <cell r="H1786">
            <v>20.03</v>
          </cell>
        </row>
        <row r="1787">
          <cell r="D1787">
            <v>10701.52</v>
          </cell>
          <cell r="H1787">
            <v>39.979999999999997</v>
          </cell>
        </row>
        <row r="1788">
          <cell r="D1788">
            <v>10701.74</v>
          </cell>
          <cell r="H1788">
            <v>40.520000000000003</v>
          </cell>
        </row>
        <row r="1789">
          <cell r="D1789">
            <v>10702.02</v>
          </cell>
          <cell r="H1789">
            <v>26.67</v>
          </cell>
        </row>
        <row r="1790">
          <cell r="D1790">
            <v>10702.05</v>
          </cell>
          <cell r="H1790">
            <v>21.15</v>
          </cell>
        </row>
        <row r="1791">
          <cell r="D1791">
            <v>10702.11</v>
          </cell>
          <cell r="H1791">
            <v>15.87</v>
          </cell>
        </row>
        <row r="1792">
          <cell r="D1792">
            <v>10751.29</v>
          </cell>
          <cell r="H1792">
            <v>10.17</v>
          </cell>
        </row>
        <row r="1793">
          <cell r="D1793">
            <v>10751.29</v>
          </cell>
          <cell r="H1793">
            <v>21.22</v>
          </cell>
        </row>
        <row r="1794">
          <cell r="D1794">
            <v>10751.31</v>
          </cell>
          <cell r="H1794">
            <v>15.93</v>
          </cell>
        </row>
        <row r="1795">
          <cell r="D1795">
            <v>10751.52</v>
          </cell>
          <cell r="H1795">
            <v>37.44</v>
          </cell>
        </row>
        <row r="1796">
          <cell r="D1796">
            <v>10751.74</v>
          </cell>
          <cell r="H1796">
            <v>37.56</v>
          </cell>
        </row>
        <row r="1797">
          <cell r="D1797">
            <v>10752.02</v>
          </cell>
          <cell r="H1797">
            <v>23.41</v>
          </cell>
        </row>
        <row r="1798">
          <cell r="D1798">
            <v>10752.05</v>
          </cell>
          <cell r="H1798">
            <v>17.86</v>
          </cell>
        </row>
        <row r="1799">
          <cell r="D1799">
            <v>10752.11</v>
          </cell>
          <cell r="H1799">
            <v>12.45</v>
          </cell>
        </row>
        <row r="1800">
          <cell r="D1800">
            <v>10801.29</v>
          </cell>
          <cell r="H1800">
            <v>7.19</v>
          </cell>
        </row>
        <row r="1801">
          <cell r="D1801">
            <v>10801.29</v>
          </cell>
          <cell r="H1801">
            <v>18.12</v>
          </cell>
        </row>
        <row r="1802">
          <cell r="D1802">
            <v>10801.31</v>
          </cell>
          <cell r="H1802">
            <v>12.78</v>
          </cell>
        </row>
        <row r="1803">
          <cell r="D1803">
            <v>10801.52</v>
          </cell>
          <cell r="H1803">
            <v>32.68</v>
          </cell>
        </row>
        <row r="1804">
          <cell r="D1804">
            <v>10801.74</v>
          </cell>
          <cell r="H1804">
            <v>32.99</v>
          </cell>
        </row>
        <row r="1805">
          <cell r="D1805">
            <v>10802.02</v>
          </cell>
          <cell r="H1805">
            <v>19.809999999999999</v>
          </cell>
        </row>
        <row r="1806">
          <cell r="D1806">
            <v>10802.05</v>
          </cell>
          <cell r="H1806">
            <v>14.31</v>
          </cell>
        </row>
        <row r="1807">
          <cell r="D1807">
            <v>10802.11</v>
          </cell>
          <cell r="H1807">
            <v>8.9499999999999993</v>
          </cell>
        </row>
        <row r="1808">
          <cell r="D1808">
            <v>10851.29</v>
          </cell>
          <cell r="H1808">
            <v>12.83</v>
          </cell>
        </row>
        <row r="1809">
          <cell r="D1809">
            <v>10851.29</v>
          </cell>
          <cell r="H1809">
            <v>23.77</v>
          </cell>
        </row>
        <row r="1810">
          <cell r="D1810">
            <v>10851.31</v>
          </cell>
          <cell r="H1810">
            <v>18.350000000000001</v>
          </cell>
        </row>
        <row r="1811">
          <cell r="D1811">
            <v>10851.52</v>
          </cell>
          <cell r="H1811">
            <v>37.31</v>
          </cell>
        </row>
        <row r="1812">
          <cell r="D1812">
            <v>10851.74</v>
          </cell>
          <cell r="H1812">
            <v>37.4</v>
          </cell>
        </row>
        <row r="1813">
          <cell r="D1813">
            <v>10852.02</v>
          </cell>
          <cell r="H1813">
            <v>24.5</v>
          </cell>
        </row>
        <row r="1814">
          <cell r="D1814">
            <v>10852.05</v>
          </cell>
          <cell r="H1814">
            <v>19</v>
          </cell>
        </row>
        <row r="1815">
          <cell r="D1815">
            <v>10852.11</v>
          </cell>
          <cell r="H1815">
            <v>13.45</v>
          </cell>
        </row>
        <row r="1816">
          <cell r="D1816">
            <v>10873.1</v>
          </cell>
          <cell r="H1816">
            <v>15.27</v>
          </cell>
        </row>
        <row r="1817">
          <cell r="D1817">
            <v>10873.14</v>
          </cell>
          <cell r="H1817">
            <v>20.73</v>
          </cell>
        </row>
        <row r="1818">
          <cell r="D1818">
            <v>10873.17</v>
          </cell>
          <cell r="H1818">
            <v>39.119999999999997</v>
          </cell>
        </row>
        <row r="1819">
          <cell r="D1819">
            <v>10873.18</v>
          </cell>
          <cell r="H1819">
            <v>39.01</v>
          </cell>
        </row>
        <row r="1820">
          <cell r="D1820">
            <v>10873.18</v>
          </cell>
          <cell r="H1820">
            <v>20.13</v>
          </cell>
        </row>
        <row r="1821">
          <cell r="D1821">
            <v>10873.18</v>
          </cell>
          <cell r="H1821">
            <v>14.62</v>
          </cell>
        </row>
        <row r="1822">
          <cell r="D1822">
            <v>10873.19</v>
          </cell>
          <cell r="H1822">
            <v>25.63</v>
          </cell>
        </row>
        <row r="1823">
          <cell r="D1823">
            <v>10873.23</v>
          </cell>
          <cell r="H1823">
            <v>26.21</v>
          </cell>
        </row>
        <row r="1824">
          <cell r="D1824">
            <v>10923.15</v>
          </cell>
          <cell r="H1824">
            <v>15.36</v>
          </cell>
        </row>
        <row r="1825">
          <cell r="D1825">
            <v>10923.15</v>
          </cell>
          <cell r="H1825">
            <v>9.1199999999999992</v>
          </cell>
        </row>
        <row r="1826">
          <cell r="D1826">
            <v>10923.17</v>
          </cell>
          <cell r="H1826">
            <v>34.26</v>
          </cell>
        </row>
        <row r="1827">
          <cell r="D1827">
            <v>10923.18</v>
          </cell>
          <cell r="H1827">
            <v>33.96</v>
          </cell>
        </row>
        <row r="1828">
          <cell r="D1828">
            <v>10923.18</v>
          </cell>
          <cell r="H1828">
            <v>9.9</v>
          </cell>
        </row>
        <row r="1829">
          <cell r="D1829">
            <v>10923.19</v>
          </cell>
          <cell r="H1829">
            <v>20.8</v>
          </cell>
        </row>
        <row r="1830">
          <cell r="D1830">
            <v>10923.19</v>
          </cell>
          <cell r="H1830">
            <v>14.67</v>
          </cell>
        </row>
        <row r="1831">
          <cell r="D1831">
            <v>10923.23</v>
          </cell>
          <cell r="H1831">
            <v>20.2</v>
          </cell>
        </row>
        <row r="1832">
          <cell r="D1832">
            <v>10973.15</v>
          </cell>
          <cell r="H1832">
            <v>14.14</v>
          </cell>
        </row>
        <row r="1833">
          <cell r="D1833">
            <v>10973.15</v>
          </cell>
          <cell r="H1833">
            <v>6.49</v>
          </cell>
        </row>
        <row r="1834">
          <cell r="D1834">
            <v>10973.17</v>
          </cell>
          <cell r="H1834">
            <v>32.58</v>
          </cell>
        </row>
        <row r="1835">
          <cell r="D1835">
            <v>10973.18</v>
          </cell>
          <cell r="H1835">
            <v>31.57</v>
          </cell>
        </row>
        <row r="1836">
          <cell r="D1836">
            <v>10973.18</v>
          </cell>
          <cell r="H1836">
            <v>8.81</v>
          </cell>
        </row>
        <row r="1837">
          <cell r="D1837">
            <v>10973.19</v>
          </cell>
          <cell r="H1837">
            <v>19.510000000000002</v>
          </cell>
        </row>
        <row r="1838">
          <cell r="D1838">
            <v>10973.19</v>
          </cell>
          <cell r="H1838">
            <v>11.98</v>
          </cell>
        </row>
        <row r="1839">
          <cell r="D1839">
            <v>10973.23</v>
          </cell>
          <cell r="H1839">
            <v>17.5</v>
          </cell>
        </row>
        <row r="1840">
          <cell r="D1840">
            <v>11023.15</v>
          </cell>
          <cell r="H1840">
            <v>13.03</v>
          </cell>
        </row>
        <row r="1841">
          <cell r="D1841">
            <v>11023.15</v>
          </cell>
          <cell r="H1841">
            <v>5.0599999999999996</v>
          </cell>
        </row>
        <row r="1842">
          <cell r="D1842">
            <v>11023.17</v>
          </cell>
          <cell r="H1842">
            <v>31.45</v>
          </cell>
        </row>
        <row r="1843">
          <cell r="D1843">
            <v>11023.18</v>
          </cell>
          <cell r="H1843">
            <v>30.4</v>
          </cell>
        </row>
        <row r="1844">
          <cell r="D1844">
            <v>11023.18</v>
          </cell>
          <cell r="H1844">
            <v>7.8</v>
          </cell>
        </row>
        <row r="1845">
          <cell r="D1845">
            <v>11023.19</v>
          </cell>
          <cell r="H1845">
            <v>18.37</v>
          </cell>
        </row>
        <row r="1846">
          <cell r="D1846">
            <v>11023.19</v>
          </cell>
          <cell r="H1846">
            <v>10.51</v>
          </cell>
        </row>
        <row r="1847">
          <cell r="D1847">
            <v>11023.23</v>
          </cell>
          <cell r="H1847">
            <v>16.03</v>
          </cell>
        </row>
        <row r="1848">
          <cell r="D1848">
            <v>11073.15</v>
          </cell>
          <cell r="H1848">
            <v>15.76</v>
          </cell>
        </row>
        <row r="1849">
          <cell r="D1849">
            <v>11073.15</v>
          </cell>
          <cell r="H1849">
            <v>6.9</v>
          </cell>
        </row>
        <row r="1850">
          <cell r="D1850">
            <v>11073.17</v>
          </cell>
          <cell r="H1850">
            <v>34.36</v>
          </cell>
        </row>
        <row r="1851">
          <cell r="D1851">
            <v>11073.18</v>
          </cell>
          <cell r="H1851">
            <v>33.21</v>
          </cell>
        </row>
        <row r="1852">
          <cell r="D1852">
            <v>11073.18</v>
          </cell>
          <cell r="H1852">
            <v>10.48</v>
          </cell>
        </row>
        <row r="1853">
          <cell r="D1853">
            <v>11073.19</v>
          </cell>
          <cell r="H1853">
            <v>21.1</v>
          </cell>
        </row>
        <row r="1854">
          <cell r="D1854">
            <v>11073.19</v>
          </cell>
          <cell r="H1854">
            <v>12.51</v>
          </cell>
        </row>
        <row r="1855">
          <cell r="D1855">
            <v>11073.23</v>
          </cell>
          <cell r="H1855">
            <v>18.059999999999999</v>
          </cell>
        </row>
        <row r="1856">
          <cell r="D1856">
            <v>11123.15</v>
          </cell>
          <cell r="H1856">
            <v>17.48</v>
          </cell>
        </row>
        <row r="1857">
          <cell r="D1857">
            <v>11123.15</v>
          </cell>
          <cell r="H1857">
            <v>11.01</v>
          </cell>
        </row>
        <row r="1858">
          <cell r="D1858">
            <v>11123.17</v>
          </cell>
          <cell r="H1858">
            <v>36.78</v>
          </cell>
        </row>
        <row r="1859">
          <cell r="D1859">
            <v>11123.18</v>
          </cell>
          <cell r="H1859">
            <v>36.47</v>
          </cell>
        </row>
        <row r="1860">
          <cell r="D1860">
            <v>11123.18</v>
          </cell>
          <cell r="H1860">
            <v>12.08</v>
          </cell>
        </row>
        <row r="1861">
          <cell r="D1861">
            <v>11123.19</v>
          </cell>
          <cell r="H1861">
            <v>22.87</v>
          </cell>
        </row>
        <row r="1862">
          <cell r="D1862">
            <v>11123.19</v>
          </cell>
          <cell r="H1862">
            <v>16.52</v>
          </cell>
        </row>
        <row r="1863">
          <cell r="D1863">
            <v>11123.23</v>
          </cell>
          <cell r="H1863">
            <v>22.04</v>
          </cell>
        </row>
        <row r="1864">
          <cell r="D1864">
            <v>11173.15</v>
          </cell>
          <cell r="H1864">
            <v>19.43</v>
          </cell>
        </row>
        <row r="1865">
          <cell r="D1865">
            <v>11173.15</v>
          </cell>
          <cell r="H1865">
            <v>12.74</v>
          </cell>
        </row>
        <row r="1866">
          <cell r="D1866">
            <v>11173.17</v>
          </cell>
          <cell r="H1866">
            <v>38.5</v>
          </cell>
        </row>
        <row r="1867">
          <cell r="D1867">
            <v>11173.18</v>
          </cell>
          <cell r="H1867">
            <v>37.950000000000003</v>
          </cell>
        </row>
        <row r="1868">
          <cell r="D1868">
            <v>11173.18</v>
          </cell>
          <cell r="H1868">
            <v>14.01</v>
          </cell>
        </row>
        <row r="1869">
          <cell r="D1869">
            <v>11173.19</v>
          </cell>
          <cell r="H1869">
            <v>24.88</v>
          </cell>
        </row>
        <row r="1870">
          <cell r="D1870">
            <v>11173.19</v>
          </cell>
          <cell r="H1870">
            <v>18.260000000000002</v>
          </cell>
        </row>
        <row r="1871">
          <cell r="D1871">
            <v>11173.23</v>
          </cell>
          <cell r="H1871">
            <v>23.76</v>
          </cell>
        </row>
        <row r="1872">
          <cell r="D1872">
            <v>11209.32</v>
          </cell>
          <cell r="H1872">
            <v>14.53</v>
          </cell>
        </row>
        <row r="1873">
          <cell r="D1873">
            <v>11209.34</v>
          </cell>
          <cell r="H1873">
            <v>14.84</v>
          </cell>
        </row>
        <row r="1874">
          <cell r="D1874">
            <v>11209.34</v>
          </cell>
          <cell r="H1874">
            <v>20.04</v>
          </cell>
        </row>
        <row r="1875">
          <cell r="D1875">
            <v>11209.36</v>
          </cell>
          <cell r="H1875">
            <v>25.52</v>
          </cell>
        </row>
        <row r="1876">
          <cell r="D1876">
            <v>11209.39</v>
          </cell>
          <cell r="H1876">
            <v>25.75</v>
          </cell>
        </row>
        <row r="1877">
          <cell r="D1877">
            <v>11209.49</v>
          </cell>
          <cell r="H1877">
            <v>39.409999999999997</v>
          </cell>
        </row>
        <row r="1878">
          <cell r="D1878">
            <v>11209.49</v>
          </cell>
          <cell r="H1878">
            <v>39.53</v>
          </cell>
        </row>
        <row r="1879">
          <cell r="D1879">
            <v>11209.51</v>
          </cell>
          <cell r="H1879">
            <v>20.25</v>
          </cell>
        </row>
        <row r="1880">
          <cell r="D1880">
            <v>11259.32</v>
          </cell>
          <cell r="H1880">
            <v>11.08</v>
          </cell>
        </row>
        <row r="1881">
          <cell r="D1881">
            <v>11259.34</v>
          </cell>
          <cell r="H1881">
            <v>11.61</v>
          </cell>
        </row>
        <row r="1882">
          <cell r="D1882">
            <v>11259.34</v>
          </cell>
          <cell r="H1882">
            <v>16.559999999999999</v>
          </cell>
        </row>
        <row r="1883">
          <cell r="D1883">
            <v>11259.36</v>
          </cell>
          <cell r="H1883">
            <v>22.06</v>
          </cell>
        </row>
        <row r="1884">
          <cell r="D1884">
            <v>11259.39</v>
          </cell>
          <cell r="H1884">
            <v>22.44</v>
          </cell>
        </row>
        <row r="1885">
          <cell r="D1885">
            <v>11259.49</v>
          </cell>
          <cell r="H1885">
            <v>36.19</v>
          </cell>
        </row>
        <row r="1886">
          <cell r="D1886">
            <v>11259.49</v>
          </cell>
          <cell r="H1886">
            <v>35.85</v>
          </cell>
        </row>
        <row r="1887">
          <cell r="D1887">
            <v>11259.51</v>
          </cell>
          <cell r="H1887">
            <v>17.07</v>
          </cell>
        </row>
        <row r="1888">
          <cell r="D1888">
            <v>11309.32</v>
          </cell>
          <cell r="H1888">
            <v>8.73</v>
          </cell>
        </row>
        <row r="1889">
          <cell r="D1889">
            <v>11309.34</v>
          </cell>
          <cell r="H1889">
            <v>8.75</v>
          </cell>
        </row>
        <row r="1890">
          <cell r="D1890">
            <v>11309.34</v>
          </cell>
          <cell r="H1890">
            <v>14.19</v>
          </cell>
        </row>
        <row r="1891">
          <cell r="D1891">
            <v>11309.36</v>
          </cell>
          <cell r="H1891">
            <v>19.71</v>
          </cell>
        </row>
        <row r="1892">
          <cell r="D1892">
            <v>11309.39</v>
          </cell>
          <cell r="H1892">
            <v>19.64</v>
          </cell>
        </row>
        <row r="1893">
          <cell r="D1893">
            <v>11309.49</v>
          </cell>
          <cell r="H1893">
            <v>34.03</v>
          </cell>
        </row>
        <row r="1894">
          <cell r="D1894">
            <v>11309.49</v>
          </cell>
          <cell r="H1894">
            <v>33.68</v>
          </cell>
        </row>
        <row r="1895">
          <cell r="D1895">
            <v>11309.51</v>
          </cell>
          <cell r="H1895">
            <v>14.32</v>
          </cell>
        </row>
        <row r="1896">
          <cell r="D1896">
            <v>11359.32</v>
          </cell>
          <cell r="H1896">
            <v>7.99</v>
          </cell>
        </row>
        <row r="1897">
          <cell r="D1897">
            <v>11359.34</v>
          </cell>
          <cell r="H1897">
            <v>7.67</v>
          </cell>
        </row>
        <row r="1898">
          <cell r="D1898">
            <v>11359.34</v>
          </cell>
          <cell r="H1898">
            <v>13.44</v>
          </cell>
        </row>
        <row r="1899">
          <cell r="D1899">
            <v>11359.36</v>
          </cell>
          <cell r="H1899">
            <v>18.97</v>
          </cell>
        </row>
        <row r="1900">
          <cell r="D1900">
            <v>11359.39</v>
          </cell>
          <cell r="H1900">
            <v>18.46</v>
          </cell>
        </row>
        <row r="1901">
          <cell r="D1901">
            <v>11359.49</v>
          </cell>
          <cell r="H1901">
            <v>33.11</v>
          </cell>
        </row>
        <row r="1902">
          <cell r="D1902">
            <v>11359.49</v>
          </cell>
          <cell r="H1902">
            <v>32.880000000000003</v>
          </cell>
        </row>
        <row r="1903">
          <cell r="D1903">
            <v>11359.51</v>
          </cell>
          <cell r="H1903">
            <v>13.18</v>
          </cell>
        </row>
        <row r="1904">
          <cell r="D1904">
            <v>11409.32</v>
          </cell>
          <cell r="H1904">
            <v>8.19</v>
          </cell>
        </row>
        <row r="1905">
          <cell r="D1905">
            <v>11409.34</v>
          </cell>
          <cell r="H1905">
            <v>7.36</v>
          </cell>
        </row>
        <row r="1906">
          <cell r="D1906">
            <v>11409.34</v>
          </cell>
          <cell r="H1906">
            <v>13.57</v>
          </cell>
        </row>
        <row r="1907">
          <cell r="D1907">
            <v>11409.36</v>
          </cell>
          <cell r="H1907">
            <v>19.09</v>
          </cell>
        </row>
        <row r="1908">
          <cell r="D1908">
            <v>11409.39</v>
          </cell>
          <cell r="H1908">
            <v>18.190000000000001</v>
          </cell>
        </row>
        <row r="1909">
          <cell r="D1909">
            <v>11409.49</v>
          </cell>
          <cell r="H1909">
            <v>33.01</v>
          </cell>
        </row>
        <row r="1910">
          <cell r="D1910">
            <v>11409.49</v>
          </cell>
          <cell r="H1910">
            <v>32.81</v>
          </cell>
        </row>
        <row r="1911">
          <cell r="D1911">
            <v>11409.51</v>
          </cell>
          <cell r="H1911">
            <v>12.9</v>
          </cell>
        </row>
        <row r="1912">
          <cell r="D1912">
            <v>11459.32</v>
          </cell>
          <cell r="H1912">
            <v>8.59</v>
          </cell>
        </row>
        <row r="1913">
          <cell r="D1913">
            <v>11459.34</v>
          </cell>
          <cell r="H1913">
            <v>9.82</v>
          </cell>
        </row>
        <row r="1914">
          <cell r="D1914">
            <v>11459.34</v>
          </cell>
          <cell r="H1914">
            <v>14.05</v>
          </cell>
        </row>
        <row r="1915">
          <cell r="D1915">
            <v>11459.36</v>
          </cell>
          <cell r="H1915">
            <v>19.57</v>
          </cell>
        </row>
        <row r="1916">
          <cell r="D1916">
            <v>11459.39</v>
          </cell>
          <cell r="H1916">
            <v>20.59</v>
          </cell>
        </row>
        <row r="1917">
          <cell r="D1917">
            <v>11459.49</v>
          </cell>
          <cell r="H1917">
            <v>34.49</v>
          </cell>
        </row>
        <row r="1918">
          <cell r="D1918">
            <v>11459.49</v>
          </cell>
          <cell r="H1918">
            <v>33.92</v>
          </cell>
        </row>
        <row r="1919">
          <cell r="D1919">
            <v>11459.51</v>
          </cell>
          <cell r="H1919">
            <v>15.27</v>
          </cell>
        </row>
        <row r="1920">
          <cell r="D1920">
            <v>11509.32</v>
          </cell>
          <cell r="H1920">
            <v>13.47</v>
          </cell>
        </row>
        <row r="1921">
          <cell r="D1921">
            <v>11509.34</v>
          </cell>
          <cell r="H1921">
            <v>15.8</v>
          </cell>
        </row>
        <row r="1922">
          <cell r="D1922">
            <v>11509.34</v>
          </cell>
          <cell r="H1922">
            <v>19.02</v>
          </cell>
        </row>
        <row r="1923">
          <cell r="D1923">
            <v>11509.36</v>
          </cell>
          <cell r="H1923">
            <v>24.54</v>
          </cell>
        </row>
        <row r="1924">
          <cell r="D1924">
            <v>11509.39</v>
          </cell>
          <cell r="H1924">
            <v>26.69</v>
          </cell>
        </row>
        <row r="1925">
          <cell r="D1925">
            <v>11509.49</v>
          </cell>
          <cell r="H1925">
            <v>39.950000000000003</v>
          </cell>
        </row>
        <row r="1926">
          <cell r="D1926">
            <v>11509.49</v>
          </cell>
          <cell r="H1926">
            <v>39.270000000000003</v>
          </cell>
        </row>
        <row r="1927">
          <cell r="D1927">
            <v>11509.51</v>
          </cell>
          <cell r="H1927">
            <v>21.31</v>
          </cell>
        </row>
        <row r="1928">
          <cell r="D1928">
            <v>11559.32</v>
          </cell>
          <cell r="H1928">
            <v>18.12</v>
          </cell>
        </row>
        <row r="1929">
          <cell r="D1929">
            <v>11559.34</v>
          </cell>
          <cell r="H1929">
            <v>16.829999999999998</v>
          </cell>
        </row>
        <row r="1930">
          <cell r="D1930">
            <v>11559.34</v>
          </cell>
          <cell r="H1930">
            <v>23.64</v>
          </cell>
        </row>
        <row r="1931">
          <cell r="D1931">
            <v>11559.36</v>
          </cell>
          <cell r="H1931">
            <v>29.14</v>
          </cell>
        </row>
        <row r="1932">
          <cell r="D1932">
            <v>11559.39</v>
          </cell>
          <cell r="H1932">
            <v>27.83</v>
          </cell>
        </row>
        <row r="1933">
          <cell r="D1933">
            <v>11559.49</v>
          </cell>
          <cell r="H1933">
            <v>42.57</v>
          </cell>
        </row>
        <row r="1934">
          <cell r="D1934">
            <v>11559.49</v>
          </cell>
          <cell r="H1934">
            <v>42.94</v>
          </cell>
        </row>
        <row r="1935">
          <cell r="D1935">
            <v>11559.51</v>
          </cell>
          <cell r="H1935">
            <v>22.35</v>
          </cell>
        </row>
        <row r="1936">
          <cell r="D1936">
            <v>11570.4</v>
          </cell>
          <cell r="H1936">
            <v>28.79</v>
          </cell>
        </row>
        <row r="1937">
          <cell r="D1937">
            <v>11570.52</v>
          </cell>
          <cell r="H1937">
            <v>28.7</v>
          </cell>
        </row>
        <row r="1938">
          <cell r="D1938">
            <v>11570.61</v>
          </cell>
          <cell r="H1938">
            <v>17.73</v>
          </cell>
        </row>
        <row r="1939">
          <cell r="D1939">
            <v>11570.62</v>
          </cell>
          <cell r="H1939">
            <v>42.31</v>
          </cell>
        </row>
        <row r="1940">
          <cell r="D1940">
            <v>11570.62</v>
          </cell>
          <cell r="H1940">
            <v>42.27</v>
          </cell>
        </row>
        <row r="1941">
          <cell r="D1941">
            <v>11570.62</v>
          </cell>
          <cell r="H1941">
            <v>23.22</v>
          </cell>
        </row>
        <row r="1942">
          <cell r="D1942">
            <v>11570.63</v>
          </cell>
          <cell r="H1942">
            <v>17.79</v>
          </cell>
        </row>
        <row r="1943">
          <cell r="D1943">
            <v>11570.69</v>
          </cell>
          <cell r="H1943">
            <v>23.3</v>
          </cell>
        </row>
        <row r="1944">
          <cell r="D1944">
            <v>11620.41</v>
          </cell>
          <cell r="H1944">
            <v>24.41</v>
          </cell>
        </row>
        <row r="1945">
          <cell r="D1945">
            <v>11620.52</v>
          </cell>
          <cell r="H1945">
            <v>24.46</v>
          </cell>
        </row>
        <row r="1946">
          <cell r="D1946">
            <v>11620.61</v>
          </cell>
          <cell r="H1946">
            <v>13.53</v>
          </cell>
        </row>
        <row r="1947">
          <cell r="D1947">
            <v>11620.62</v>
          </cell>
          <cell r="H1947">
            <v>38.369999999999997</v>
          </cell>
        </row>
        <row r="1948">
          <cell r="D1948">
            <v>11620.62</v>
          </cell>
          <cell r="H1948">
            <v>38.44</v>
          </cell>
        </row>
        <row r="1949">
          <cell r="D1949">
            <v>11620.62</v>
          </cell>
          <cell r="H1949">
            <v>19.010000000000002</v>
          </cell>
        </row>
        <row r="1950">
          <cell r="D1950">
            <v>11620.63</v>
          </cell>
          <cell r="H1950">
            <v>13.66</v>
          </cell>
        </row>
        <row r="1951">
          <cell r="D1951">
            <v>11620.69</v>
          </cell>
          <cell r="H1951">
            <v>19.190000000000001</v>
          </cell>
        </row>
        <row r="1952">
          <cell r="D1952">
            <v>11670.41</v>
          </cell>
          <cell r="H1952">
            <v>21.08</v>
          </cell>
        </row>
        <row r="1953">
          <cell r="D1953">
            <v>11670.52</v>
          </cell>
          <cell r="H1953">
            <v>20.78</v>
          </cell>
        </row>
        <row r="1954">
          <cell r="D1954">
            <v>11670.61</v>
          </cell>
          <cell r="H1954">
            <v>9.89</v>
          </cell>
        </row>
        <row r="1955">
          <cell r="D1955">
            <v>11670.62</v>
          </cell>
          <cell r="H1955">
            <v>35.119999999999997</v>
          </cell>
        </row>
        <row r="1956">
          <cell r="D1956">
            <v>11670.62</v>
          </cell>
          <cell r="H1956">
            <v>35.32</v>
          </cell>
        </row>
        <row r="1957">
          <cell r="D1957">
            <v>11670.62</v>
          </cell>
          <cell r="H1957">
            <v>15.35</v>
          </cell>
        </row>
        <row r="1958">
          <cell r="D1958">
            <v>11670.63</v>
          </cell>
          <cell r="H1958">
            <v>10.46</v>
          </cell>
        </row>
        <row r="1959">
          <cell r="D1959">
            <v>11670.69</v>
          </cell>
          <cell r="H1959">
            <v>16.03</v>
          </cell>
        </row>
        <row r="1960">
          <cell r="D1960">
            <v>11720.41</v>
          </cell>
          <cell r="H1960">
            <v>18.53</v>
          </cell>
        </row>
        <row r="1961">
          <cell r="D1961">
            <v>11720.52</v>
          </cell>
          <cell r="H1961">
            <v>18.440000000000001</v>
          </cell>
        </row>
        <row r="1962">
          <cell r="D1962">
            <v>11720.61</v>
          </cell>
          <cell r="H1962">
            <v>7.59</v>
          </cell>
        </row>
        <row r="1963">
          <cell r="D1963">
            <v>11720.62</v>
          </cell>
          <cell r="H1963">
            <v>32.75</v>
          </cell>
        </row>
        <row r="1964">
          <cell r="D1964">
            <v>11720.62</v>
          </cell>
          <cell r="H1964">
            <v>32.81</v>
          </cell>
        </row>
        <row r="1965">
          <cell r="D1965">
            <v>11720.62</v>
          </cell>
          <cell r="H1965">
            <v>13.03</v>
          </cell>
        </row>
        <row r="1966">
          <cell r="D1966">
            <v>11720.63</v>
          </cell>
          <cell r="H1966">
            <v>8.06</v>
          </cell>
        </row>
        <row r="1967">
          <cell r="D1967">
            <v>11720.69</v>
          </cell>
          <cell r="H1967">
            <v>13.61</v>
          </cell>
        </row>
        <row r="1968">
          <cell r="D1968">
            <v>11770.41</v>
          </cell>
          <cell r="H1968">
            <v>17.149999999999999</v>
          </cell>
        </row>
        <row r="1969">
          <cell r="D1969">
            <v>11770.52</v>
          </cell>
          <cell r="H1969">
            <v>17.3</v>
          </cell>
        </row>
        <row r="1970">
          <cell r="D1970">
            <v>11770.61</v>
          </cell>
          <cell r="H1970">
            <v>6.46</v>
          </cell>
        </row>
        <row r="1971">
          <cell r="D1971">
            <v>11770.62</v>
          </cell>
          <cell r="H1971">
            <v>31.66</v>
          </cell>
        </row>
        <row r="1972">
          <cell r="D1972">
            <v>11770.62</v>
          </cell>
          <cell r="H1972">
            <v>31.72</v>
          </cell>
        </row>
        <row r="1973">
          <cell r="D1973">
            <v>11770.62</v>
          </cell>
          <cell r="H1973">
            <v>11.89</v>
          </cell>
        </row>
        <row r="1974">
          <cell r="D1974">
            <v>11770.63</v>
          </cell>
          <cell r="H1974">
            <v>6.7</v>
          </cell>
        </row>
        <row r="1975">
          <cell r="D1975">
            <v>11770.69</v>
          </cell>
          <cell r="H1975">
            <v>12.28</v>
          </cell>
        </row>
        <row r="1976">
          <cell r="D1976">
            <v>11820.41</v>
          </cell>
          <cell r="H1976">
            <v>19.18</v>
          </cell>
        </row>
        <row r="1977">
          <cell r="D1977">
            <v>11820.52</v>
          </cell>
          <cell r="H1977">
            <v>19.27</v>
          </cell>
        </row>
        <row r="1978">
          <cell r="D1978">
            <v>11820.61</v>
          </cell>
          <cell r="H1978">
            <v>8.42</v>
          </cell>
        </row>
        <row r="1979">
          <cell r="D1979">
            <v>11820.62</v>
          </cell>
          <cell r="H1979">
            <v>33.47</v>
          </cell>
        </row>
        <row r="1980">
          <cell r="D1980">
            <v>11820.62</v>
          </cell>
          <cell r="H1980">
            <v>33.54</v>
          </cell>
        </row>
        <row r="1981">
          <cell r="D1981">
            <v>11820.62</v>
          </cell>
          <cell r="H1981">
            <v>13.87</v>
          </cell>
        </row>
        <row r="1982">
          <cell r="D1982">
            <v>11820.63</v>
          </cell>
          <cell r="H1982">
            <v>8.6999999999999993</v>
          </cell>
        </row>
        <row r="1983">
          <cell r="D1983">
            <v>11820.69</v>
          </cell>
          <cell r="H1983">
            <v>14.28</v>
          </cell>
        </row>
        <row r="1984">
          <cell r="D1984">
            <v>11870.41</v>
          </cell>
          <cell r="H1984">
            <v>22.82</v>
          </cell>
        </row>
        <row r="1985">
          <cell r="D1985">
            <v>11870.52</v>
          </cell>
          <cell r="H1985">
            <v>23.01</v>
          </cell>
        </row>
        <row r="1986">
          <cell r="D1986">
            <v>11870.61</v>
          </cell>
          <cell r="H1986">
            <v>12.17</v>
          </cell>
        </row>
        <row r="1987">
          <cell r="D1987">
            <v>11870.62</v>
          </cell>
          <cell r="H1987">
            <v>37.08</v>
          </cell>
        </row>
        <row r="1988">
          <cell r="D1988">
            <v>11870.62</v>
          </cell>
          <cell r="H1988">
            <v>37.049999999999997</v>
          </cell>
        </row>
        <row r="1989">
          <cell r="D1989">
            <v>11870.62</v>
          </cell>
          <cell r="H1989">
            <v>17.61</v>
          </cell>
        </row>
        <row r="1990">
          <cell r="D1990">
            <v>11870.63</v>
          </cell>
          <cell r="H1990">
            <v>12.25</v>
          </cell>
        </row>
        <row r="1991">
          <cell r="D1991">
            <v>11870.69</v>
          </cell>
          <cell r="H1991">
            <v>17.84</v>
          </cell>
        </row>
        <row r="1992">
          <cell r="D1992">
            <v>11920.41</v>
          </cell>
          <cell r="H1992">
            <v>27.69</v>
          </cell>
        </row>
        <row r="1993">
          <cell r="D1993">
            <v>11920.52</v>
          </cell>
          <cell r="H1993">
            <v>27.51</v>
          </cell>
        </row>
        <row r="1994">
          <cell r="D1994">
            <v>11920.61</v>
          </cell>
          <cell r="H1994">
            <v>16.649999999999999</v>
          </cell>
        </row>
        <row r="1995">
          <cell r="D1995">
            <v>11920.62</v>
          </cell>
          <cell r="H1995">
            <v>41.35</v>
          </cell>
        </row>
        <row r="1996">
          <cell r="D1996">
            <v>11920.62</v>
          </cell>
          <cell r="H1996">
            <v>41.44</v>
          </cell>
        </row>
        <row r="1997">
          <cell r="D1997">
            <v>11920.62</v>
          </cell>
          <cell r="H1997">
            <v>22.08</v>
          </cell>
        </row>
        <row r="1998">
          <cell r="D1998">
            <v>11920.63</v>
          </cell>
          <cell r="H1998">
            <v>16.96</v>
          </cell>
        </row>
        <row r="1999">
          <cell r="D1999">
            <v>11920.69</v>
          </cell>
          <cell r="H1999">
            <v>22.51</v>
          </cell>
        </row>
        <row r="2000">
          <cell r="D2000">
            <v>11956.63</v>
          </cell>
          <cell r="H2000">
            <v>23.86</v>
          </cell>
        </row>
        <row r="2001">
          <cell r="D2001">
            <v>11956.7</v>
          </cell>
          <cell r="H2001">
            <v>18.350000000000001</v>
          </cell>
        </row>
        <row r="2002">
          <cell r="D2002">
            <v>11956.81</v>
          </cell>
          <cell r="H2002">
            <v>18.03</v>
          </cell>
        </row>
        <row r="2003">
          <cell r="D2003">
            <v>11956.89</v>
          </cell>
          <cell r="H2003">
            <v>29.3</v>
          </cell>
        </row>
        <row r="2004">
          <cell r="D2004">
            <v>11956.93</v>
          </cell>
          <cell r="H2004">
            <v>23.51</v>
          </cell>
        </row>
        <row r="2005">
          <cell r="D2005">
            <v>11957.04</v>
          </cell>
          <cell r="H2005">
            <v>28.98</v>
          </cell>
        </row>
        <row r="2006">
          <cell r="D2006">
            <v>11957.34</v>
          </cell>
          <cell r="H2006">
            <v>42.58</v>
          </cell>
        </row>
        <row r="2007">
          <cell r="D2007">
            <v>12007</v>
          </cell>
          <cell r="H2007">
            <v>19.329999999999998</v>
          </cell>
        </row>
        <row r="2008">
          <cell r="D2008">
            <v>12007.1</v>
          </cell>
          <cell r="H2008">
            <v>13.84</v>
          </cell>
        </row>
        <row r="2009">
          <cell r="D2009">
            <v>12007.26</v>
          </cell>
          <cell r="H2009">
            <v>24.66</v>
          </cell>
        </row>
        <row r="2010">
          <cell r="D2010">
            <v>12007.34</v>
          </cell>
          <cell r="H2010">
            <v>38.700000000000003</v>
          </cell>
        </row>
        <row r="2011">
          <cell r="D2011">
            <v>12057</v>
          </cell>
          <cell r="H2011">
            <v>17.07</v>
          </cell>
        </row>
        <row r="2012">
          <cell r="D2012">
            <v>12057.1</v>
          </cell>
          <cell r="H2012">
            <v>11.58</v>
          </cell>
        </row>
        <row r="2013">
          <cell r="D2013">
            <v>12057.26</v>
          </cell>
          <cell r="H2013">
            <v>22.33</v>
          </cell>
        </row>
        <row r="2014">
          <cell r="D2014">
            <v>12057.34</v>
          </cell>
          <cell r="H2014">
            <v>36.42</v>
          </cell>
        </row>
        <row r="2015">
          <cell r="D2015">
            <v>12107</v>
          </cell>
          <cell r="H2015">
            <v>15.09</v>
          </cell>
        </row>
        <row r="2016">
          <cell r="D2016">
            <v>12107.1</v>
          </cell>
          <cell r="H2016">
            <v>9.61</v>
          </cell>
        </row>
        <row r="2017">
          <cell r="D2017">
            <v>12107.26</v>
          </cell>
          <cell r="H2017">
            <v>20.36</v>
          </cell>
        </row>
        <row r="2018">
          <cell r="D2018">
            <v>12107.34</v>
          </cell>
          <cell r="H2018">
            <v>35.15</v>
          </cell>
        </row>
        <row r="2019">
          <cell r="D2019">
            <v>12157</v>
          </cell>
          <cell r="H2019">
            <v>18.309999999999999</v>
          </cell>
        </row>
        <row r="2020">
          <cell r="D2020">
            <v>12157.1</v>
          </cell>
          <cell r="H2020">
            <v>12.81</v>
          </cell>
        </row>
        <row r="2021">
          <cell r="D2021">
            <v>12157.26</v>
          </cell>
          <cell r="H2021">
            <v>23.6</v>
          </cell>
        </row>
        <row r="2022">
          <cell r="D2022">
            <v>12157.34</v>
          </cell>
          <cell r="H2022">
            <v>39.08</v>
          </cell>
        </row>
        <row r="2023">
          <cell r="D2023">
            <v>12207</v>
          </cell>
          <cell r="H2023">
            <v>21.83</v>
          </cell>
        </row>
        <row r="2024">
          <cell r="D2024">
            <v>12207.1</v>
          </cell>
          <cell r="H2024">
            <v>16.34</v>
          </cell>
        </row>
        <row r="2025">
          <cell r="D2025">
            <v>12207.26</v>
          </cell>
          <cell r="H2025">
            <v>27.17</v>
          </cell>
        </row>
        <row r="2026">
          <cell r="D2026">
            <v>12207.34</v>
          </cell>
          <cell r="H2026">
            <v>42.31</v>
          </cell>
        </row>
        <row r="2027">
          <cell r="D2027">
            <v>12257</v>
          </cell>
          <cell r="H2027">
            <v>25.64</v>
          </cell>
        </row>
        <row r="2028">
          <cell r="D2028">
            <v>12257.1</v>
          </cell>
          <cell r="H2028">
            <v>20.149999999999999</v>
          </cell>
        </row>
        <row r="2029">
          <cell r="D2029">
            <v>12257.26</v>
          </cell>
          <cell r="H2029">
            <v>31.06</v>
          </cell>
        </row>
        <row r="2030">
          <cell r="D2030">
            <v>12257.34</v>
          </cell>
          <cell r="H2030">
            <v>46.11</v>
          </cell>
        </row>
        <row r="2031">
          <cell r="D2031">
            <v>12289.7</v>
          </cell>
          <cell r="H2031">
            <v>49.35</v>
          </cell>
        </row>
        <row r="2032">
          <cell r="D2032">
            <v>12297.81</v>
          </cell>
          <cell r="H2032">
            <v>23.19</v>
          </cell>
        </row>
        <row r="2033">
          <cell r="D2033">
            <v>12297.86</v>
          </cell>
          <cell r="H2033">
            <v>34.15</v>
          </cell>
        </row>
        <row r="2034">
          <cell r="D2034">
            <v>12297.87</v>
          </cell>
          <cell r="H2034">
            <v>28.7</v>
          </cell>
        </row>
        <row r="2035">
          <cell r="D2035">
            <v>12339.67</v>
          </cell>
          <cell r="H2035">
            <v>47.23</v>
          </cell>
        </row>
        <row r="2036">
          <cell r="D2036">
            <v>12347.81</v>
          </cell>
          <cell r="H2036">
            <v>22.25</v>
          </cell>
        </row>
        <row r="2037">
          <cell r="D2037">
            <v>12347.86</v>
          </cell>
          <cell r="H2037">
            <v>32.799999999999997</v>
          </cell>
        </row>
        <row r="2038">
          <cell r="D2038">
            <v>12347.87</v>
          </cell>
          <cell r="H2038">
            <v>27.7</v>
          </cell>
        </row>
        <row r="2039">
          <cell r="D2039">
            <v>12389.67</v>
          </cell>
          <cell r="H2039">
            <v>43.55</v>
          </cell>
        </row>
        <row r="2040">
          <cell r="D2040">
            <v>12397.81</v>
          </cell>
          <cell r="H2040">
            <v>18.670000000000002</v>
          </cell>
        </row>
        <row r="2041">
          <cell r="D2041">
            <v>12397.86</v>
          </cell>
          <cell r="H2041">
            <v>28.98</v>
          </cell>
        </row>
        <row r="2042">
          <cell r="D2042">
            <v>12397.87</v>
          </cell>
          <cell r="H2042">
            <v>24.11</v>
          </cell>
        </row>
        <row r="2043">
          <cell r="D2043">
            <v>12439.67</v>
          </cell>
          <cell r="H2043">
            <v>41.06</v>
          </cell>
        </row>
        <row r="2044">
          <cell r="D2044">
            <v>12447.81</v>
          </cell>
          <cell r="H2044">
            <v>15.79</v>
          </cell>
        </row>
        <row r="2045">
          <cell r="D2045">
            <v>12447.86</v>
          </cell>
          <cell r="H2045">
            <v>26.01</v>
          </cell>
        </row>
        <row r="2046">
          <cell r="D2046">
            <v>12447.87</v>
          </cell>
          <cell r="H2046">
            <v>21.23</v>
          </cell>
        </row>
        <row r="2047">
          <cell r="D2047">
            <v>12489.67</v>
          </cell>
          <cell r="H2047">
            <v>40.909999999999997</v>
          </cell>
        </row>
        <row r="2048">
          <cell r="D2048">
            <v>12497.81</v>
          </cell>
          <cell r="H2048">
            <v>16.47</v>
          </cell>
        </row>
        <row r="2049">
          <cell r="D2049">
            <v>12497.86</v>
          </cell>
          <cell r="H2049">
            <v>26.85</v>
          </cell>
        </row>
        <row r="2050">
          <cell r="D2050">
            <v>12497.87</v>
          </cell>
          <cell r="H2050">
            <v>21.99</v>
          </cell>
        </row>
        <row r="2051">
          <cell r="D2051">
            <v>12539.67</v>
          </cell>
          <cell r="H2051">
            <v>40.200000000000003</v>
          </cell>
        </row>
        <row r="2052">
          <cell r="D2052">
            <v>12547.81</v>
          </cell>
          <cell r="H2052">
            <v>16.43</v>
          </cell>
        </row>
        <row r="2053">
          <cell r="D2053">
            <v>12547.86</v>
          </cell>
          <cell r="H2053">
            <v>26.76</v>
          </cell>
        </row>
        <row r="2054">
          <cell r="D2054">
            <v>12547.87</v>
          </cell>
          <cell r="H2054">
            <v>21.85</v>
          </cell>
        </row>
        <row r="2055">
          <cell r="D2055">
            <v>12589.67</v>
          </cell>
          <cell r="H2055">
            <v>36.729999999999997</v>
          </cell>
        </row>
        <row r="2056">
          <cell r="D2056">
            <v>12597.81</v>
          </cell>
          <cell r="H2056">
            <v>12.69</v>
          </cell>
        </row>
        <row r="2057">
          <cell r="D2057">
            <v>12597.86</v>
          </cell>
          <cell r="H2057">
            <v>23.4</v>
          </cell>
        </row>
        <row r="2058">
          <cell r="D2058">
            <v>12597.87</v>
          </cell>
          <cell r="H2058">
            <v>18.16</v>
          </cell>
        </row>
        <row r="2059">
          <cell r="D2059">
            <v>12617.58</v>
          </cell>
          <cell r="H2059">
            <v>12.52</v>
          </cell>
        </row>
        <row r="2060">
          <cell r="D2060">
            <v>12617.71</v>
          </cell>
          <cell r="H2060">
            <v>36.57</v>
          </cell>
        </row>
        <row r="2061">
          <cell r="D2061">
            <v>12717.83</v>
          </cell>
          <cell r="H2061">
            <v>42.58</v>
          </cell>
        </row>
        <row r="2062">
          <cell r="D2062">
            <v>12767.4</v>
          </cell>
          <cell r="H2062">
            <v>12.42</v>
          </cell>
        </row>
        <row r="2063">
          <cell r="D2063">
            <v>12767.52</v>
          </cell>
          <cell r="H2063">
            <v>18.059999999999999</v>
          </cell>
        </row>
        <row r="2064">
          <cell r="D2064">
            <v>12767.63</v>
          </cell>
          <cell r="H2064">
            <v>23.56</v>
          </cell>
        </row>
        <row r="2065">
          <cell r="D2065">
            <v>12767.83</v>
          </cell>
          <cell r="H2065">
            <v>37.229999999999997</v>
          </cell>
        </row>
        <row r="2066">
          <cell r="D2066">
            <v>12817.4</v>
          </cell>
          <cell r="H2066">
            <v>8.4499999999999993</v>
          </cell>
        </row>
        <row r="2067">
          <cell r="D2067">
            <v>12817.52</v>
          </cell>
          <cell r="H2067">
            <v>14</v>
          </cell>
        </row>
        <row r="2068">
          <cell r="D2068">
            <v>12817.63</v>
          </cell>
          <cell r="H2068">
            <v>19.489999999999998</v>
          </cell>
        </row>
        <row r="2069">
          <cell r="D2069">
            <v>12817.83</v>
          </cell>
          <cell r="H2069">
            <v>33.19</v>
          </cell>
        </row>
        <row r="2070">
          <cell r="D2070">
            <v>12867.4</v>
          </cell>
          <cell r="H2070">
            <v>6.31</v>
          </cell>
        </row>
        <row r="2071">
          <cell r="D2071">
            <v>12867.52</v>
          </cell>
          <cell r="H2071">
            <v>11.9</v>
          </cell>
        </row>
        <row r="2072">
          <cell r="D2072">
            <v>12867.63</v>
          </cell>
          <cell r="H2072">
            <v>17.43</v>
          </cell>
        </row>
        <row r="2073">
          <cell r="D2073">
            <v>12867.83</v>
          </cell>
          <cell r="H2073">
            <v>30.65</v>
          </cell>
        </row>
        <row r="2074">
          <cell r="D2074">
            <v>12917.4</v>
          </cell>
          <cell r="H2074">
            <v>10.76</v>
          </cell>
        </row>
        <row r="2075">
          <cell r="D2075">
            <v>12917.52</v>
          </cell>
          <cell r="H2075">
            <v>16.28</v>
          </cell>
        </row>
        <row r="2076">
          <cell r="D2076">
            <v>12917.63</v>
          </cell>
          <cell r="H2076">
            <v>21.79</v>
          </cell>
        </row>
        <row r="2077">
          <cell r="D2077">
            <v>12917.83</v>
          </cell>
          <cell r="H2077">
            <v>34.46</v>
          </cell>
        </row>
        <row r="2078">
          <cell r="D2078">
            <v>12967.4</v>
          </cell>
          <cell r="H2078">
            <v>13.28</v>
          </cell>
        </row>
        <row r="2079">
          <cell r="D2079">
            <v>12967.52</v>
          </cell>
          <cell r="H2079">
            <v>18.77</v>
          </cell>
        </row>
        <row r="2080">
          <cell r="D2080">
            <v>12967.63</v>
          </cell>
          <cell r="H2080">
            <v>24.27</v>
          </cell>
        </row>
        <row r="2081">
          <cell r="D2081">
            <v>12967.83</v>
          </cell>
          <cell r="H2081">
            <v>36.340000000000003</v>
          </cell>
        </row>
        <row r="2082">
          <cell r="D2082">
            <v>12999.98</v>
          </cell>
          <cell r="H2082">
            <v>37.94</v>
          </cell>
        </row>
        <row r="2083">
          <cell r="D2083">
            <v>13002.53</v>
          </cell>
          <cell r="H2083">
            <v>15.17</v>
          </cell>
        </row>
        <row r="2084">
          <cell r="D2084">
            <v>13002.53</v>
          </cell>
          <cell r="H2084">
            <v>20.62</v>
          </cell>
        </row>
        <row r="2085">
          <cell r="D2085">
            <v>13002.53</v>
          </cell>
          <cell r="H2085">
            <v>26.1</v>
          </cell>
        </row>
        <row r="2086">
          <cell r="D2086">
            <v>13049.98</v>
          </cell>
          <cell r="H2086">
            <v>33.81</v>
          </cell>
        </row>
        <row r="2087">
          <cell r="D2087">
            <v>13052.53</v>
          </cell>
          <cell r="H2087">
            <v>11.05</v>
          </cell>
        </row>
        <row r="2088">
          <cell r="D2088">
            <v>13052.53</v>
          </cell>
          <cell r="H2088">
            <v>16.62</v>
          </cell>
        </row>
        <row r="2089">
          <cell r="D2089">
            <v>13052.53</v>
          </cell>
          <cell r="H2089">
            <v>22.15</v>
          </cell>
        </row>
        <row r="2090">
          <cell r="D2090">
            <v>13099.98</v>
          </cell>
          <cell r="H2090">
            <v>36.11</v>
          </cell>
        </row>
        <row r="2091">
          <cell r="D2091">
            <v>13102.53</v>
          </cell>
          <cell r="H2091">
            <v>9.99</v>
          </cell>
        </row>
        <row r="2092">
          <cell r="D2092">
            <v>13102.53</v>
          </cell>
          <cell r="H2092">
            <v>15.54</v>
          </cell>
        </row>
        <row r="2093">
          <cell r="D2093">
            <v>13102.53</v>
          </cell>
          <cell r="H2093">
            <v>21.11</v>
          </cell>
        </row>
        <row r="2094">
          <cell r="D2094">
            <v>13149.98</v>
          </cell>
          <cell r="H2094">
            <v>33.36</v>
          </cell>
        </row>
        <row r="2095">
          <cell r="D2095">
            <v>13199.98</v>
          </cell>
          <cell r="H2095">
            <v>34.54</v>
          </cell>
        </row>
        <row r="2096">
          <cell r="D2096">
            <v>13202.53</v>
          </cell>
          <cell r="H2096">
            <v>11.16</v>
          </cell>
        </row>
        <row r="2097">
          <cell r="D2097">
            <v>13202.53</v>
          </cell>
          <cell r="H2097">
            <v>16.61</v>
          </cell>
        </row>
        <row r="2098">
          <cell r="D2098">
            <v>13202.53</v>
          </cell>
          <cell r="H2098">
            <v>22.19</v>
          </cell>
        </row>
        <row r="2099">
          <cell r="D2099">
            <v>13249.98</v>
          </cell>
          <cell r="H2099">
            <v>36.75</v>
          </cell>
        </row>
        <row r="2100">
          <cell r="D2100">
            <v>13252.53</v>
          </cell>
          <cell r="H2100">
            <v>12.74</v>
          </cell>
        </row>
        <row r="2101">
          <cell r="D2101">
            <v>13252.53</v>
          </cell>
          <cell r="H2101">
            <v>18.39</v>
          </cell>
        </row>
        <row r="2102">
          <cell r="D2102">
            <v>13252.53</v>
          </cell>
          <cell r="H2102">
            <v>23.97</v>
          </cell>
        </row>
        <row r="2103">
          <cell r="D2103">
            <v>13299.98</v>
          </cell>
          <cell r="H2103">
            <v>34.83</v>
          </cell>
        </row>
        <row r="2104">
          <cell r="D2104">
            <v>13302.53</v>
          </cell>
          <cell r="H2104">
            <v>9.82</v>
          </cell>
        </row>
        <row r="2105">
          <cell r="D2105">
            <v>13302.53</v>
          </cell>
          <cell r="H2105">
            <v>15.44</v>
          </cell>
        </row>
        <row r="2106">
          <cell r="D2106">
            <v>13302.53</v>
          </cell>
          <cell r="H2106">
            <v>21</v>
          </cell>
        </row>
        <row r="2107">
          <cell r="D2107">
            <v>13349.98</v>
          </cell>
          <cell r="H2107">
            <v>34.97</v>
          </cell>
        </row>
        <row r="2108">
          <cell r="D2108">
            <v>13352.53</v>
          </cell>
          <cell r="H2108">
            <v>10.25</v>
          </cell>
        </row>
        <row r="2109">
          <cell r="D2109">
            <v>13352.53</v>
          </cell>
          <cell r="H2109">
            <v>15.83</v>
          </cell>
        </row>
        <row r="2110">
          <cell r="D2110">
            <v>13352.53</v>
          </cell>
          <cell r="H2110">
            <v>21.34</v>
          </cell>
        </row>
        <row r="2111">
          <cell r="D2111">
            <v>13376.76</v>
          </cell>
          <cell r="H2111">
            <v>22.6</v>
          </cell>
        </row>
        <row r="2112">
          <cell r="D2112">
            <v>13376.78</v>
          </cell>
          <cell r="H2112">
            <v>36.33</v>
          </cell>
        </row>
        <row r="2113">
          <cell r="D2113">
            <v>13376.83</v>
          </cell>
          <cell r="H2113">
            <v>17.11</v>
          </cell>
        </row>
        <row r="2114">
          <cell r="D2114">
            <v>13377.12</v>
          </cell>
          <cell r="H2114">
            <v>18.02</v>
          </cell>
        </row>
        <row r="2115">
          <cell r="D2115">
            <v>13377.19</v>
          </cell>
          <cell r="H2115">
            <v>11.62</v>
          </cell>
        </row>
        <row r="2116">
          <cell r="D2116">
            <v>13377.2</v>
          </cell>
          <cell r="H2116">
            <v>23.39</v>
          </cell>
        </row>
        <row r="2117">
          <cell r="D2117">
            <v>13426.76</v>
          </cell>
          <cell r="H2117">
            <v>21.08</v>
          </cell>
        </row>
        <row r="2118">
          <cell r="D2118">
            <v>13426.78</v>
          </cell>
          <cell r="H2118">
            <v>35</v>
          </cell>
        </row>
        <row r="2119">
          <cell r="D2119">
            <v>13426.78</v>
          </cell>
          <cell r="H2119">
            <v>35.159999999999997</v>
          </cell>
        </row>
        <row r="2120">
          <cell r="D2120">
            <v>13426.83</v>
          </cell>
          <cell r="H2120">
            <v>15.52</v>
          </cell>
        </row>
        <row r="2121">
          <cell r="D2121">
            <v>13426.97</v>
          </cell>
          <cell r="H2121">
            <v>11.36</v>
          </cell>
        </row>
        <row r="2122">
          <cell r="D2122">
            <v>13427.12</v>
          </cell>
          <cell r="H2122">
            <v>16.91</v>
          </cell>
        </row>
        <row r="2123">
          <cell r="D2123">
            <v>13427.19</v>
          </cell>
          <cell r="H2123">
            <v>10.11</v>
          </cell>
        </row>
        <row r="2124">
          <cell r="D2124">
            <v>13427.2</v>
          </cell>
          <cell r="H2124">
            <v>21.9</v>
          </cell>
        </row>
        <row r="2125">
          <cell r="D2125">
            <v>13476.76</v>
          </cell>
          <cell r="H2125">
            <v>20.34</v>
          </cell>
        </row>
        <row r="2126">
          <cell r="D2126">
            <v>13476.78</v>
          </cell>
          <cell r="H2126">
            <v>33.369999999999997</v>
          </cell>
        </row>
        <row r="2127">
          <cell r="D2127">
            <v>13476.78</v>
          </cell>
          <cell r="H2127">
            <v>34.22</v>
          </cell>
        </row>
        <row r="2128">
          <cell r="D2128">
            <v>13476.83</v>
          </cell>
          <cell r="H2128">
            <v>14.71</v>
          </cell>
        </row>
        <row r="2129">
          <cell r="D2129">
            <v>13476.97</v>
          </cell>
          <cell r="H2129">
            <v>9.41</v>
          </cell>
        </row>
        <row r="2130">
          <cell r="D2130">
            <v>13477.12</v>
          </cell>
          <cell r="H2130">
            <v>15.05</v>
          </cell>
        </row>
        <row r="2131">
          <cell r="D2131">
            <v>13477.19</v>
          </cell>
          <cell r="H2131">
            <v>9.3699999999999992</v>
          </cell>
        </row>
        <row r="2132">
          <cell r="D2132">
            <v>13477.2</v>
          </cell>
          <cell r="H2132">
            <v>19.84</v>
          </cell>
        </row>
        <row r="2133">
          <cell r="D2133">
            <v>13526.76</v>
          </cell>
          <cell r="H2133">
            <v>22.54</v>
          </cell>
        </row>
        <row r="2134">
          <cell r="D2134">
            <v>13526.78</v>
          </cell>
          <cell r="H2134">
            <v>35.61</v>
          </cell>
        </row>
        <row r="2135">
          <cell r="D2135">
            <v>13526.78</v>
          </cell>
          <cell r="H2135">
            <v>36.67</v>
          </cell>
        </row>
        <row r="2136">
          <cell r="D2136">
            <v>13526.83</v>
          </cell>
          <cell r="H2136">
            <v>16.86</v>
          </cell>
        </row>
        <row r="2137">
          <cell r="D2137">
            <v>13526.97</v>
          </cell>
          <cell r="H2137">
            <v>11.95</v>
          </cell>
        </row>
        <row r="2138">
          <cell r="D2138">
            <v>13527.12</v>
          </cell>
          <cell r="H2138">
            <v>17.62</v>
          </cell>
        </row>
        <row r="2139">
          <cell r="D2139">
            <v>13527.19</v>
          </cell>
          <cell r="H2139">
            <v>11.49</v>
          </cell>
        </row>
        <row r="2140">
          <cell r="D2140">
            <v>13527.2</v>
          </cell>
          <cell r="H2140">
            <v>22.22</v>
          </cell>
        </row>
        <row r="2141">
          <cell r="D2141">
            <v>13576.76</v>
          </cell>
          <cell r="H2141">
            <v>20.71</v>
          </cell>
        </row>
        <row r="2142">
          <cell r="D2142">
            <v>13576.78</v>
          </cell>
          <cell r="H2142">
            <v>34.5</v>
          </cell>
        </row>
        <row r="2143">
          <cell r="D2143">
            <v>13576.78</v>
          </cell>
          <cell r="H2143">
            <v>35.32</v>
          </cell>
        </row>
        <row r="2144">
          <cell r="D2144">
            <v>13576.83</v>
          </cell>
          <cell r="H2144">
            <v>14.96</v>
          </cell>
        </row>
        <row r="2145">
          <cell r="D2145">
            <v>13576.97</v>
          </cell>
          <cell r="H2145">
            <v>11.41</v>
          </cell>
        </row>
        <row r="2146">
          <cell r="D2146">
            <v>13577.12</v>
          </cell>
          <cell r="H2146">
            <v>17.09</v>
          </cell>
        </row>
        <row r="2147">
          <cell r="D2147">
            <v>13577.19</v>
          </cell>
          <cell r="H2147">
            <v>9.58</v>
          </cell>
        </row>
        <row r="2148">
          <cell r="D2148">
            <v>13577.19</v>
          </cell>
          <cell r="H2148">
            <v>21.58</v>
          </cell>
        </row>
        <row r="2149">
          <cell r="D2149">
            <v>13626.76</v>
          </cell>
          <cell r="H2149">
            <v>26.3</v>
          </cell>
        </row>
        <row r="2150">
          <cell r="D2150">
            <v>13626.78</v>
          </cell>
          <cell r="H2150">
            <v>39.99</v>
          </cell>
        </row>
        <row r="2151">
          <cell r="D2151">
            <v>13626.78</v>
          </cell>
          <cell r="H2151">
            <v>41.12</v>
          </cell>
        </row>
        <row r="2152">
          <cell r="D2152">
            <v>13626.83</v>
          </cell>
          <cell r="H2152">
            <v>20.49</v>
          </cell>
        </row>
        <row r="2153">
          <cell r="D2153">
            <v>13626.97</v>
          </cell>
          <cell r="H2153">
            <v>16.07</v>
          </cell>
        </row>
        <row r="2154">
          <cell r="D2154">
            <v>13627.12</v>
          </cell>
          <cell r="H2154">
            <v>21.8</v>
          </cell>
        </row>
        <row r="2155">
          <cell r="D2155">
            <v>13627.19</v>
          </cell>
          <cell r="H2155">
            <v>15.06</v>
          </cell>
        </row>
        <row r="2156">
          <cell r="D2156">
            <v>13627.19</v>
          </cell>
          <cell r="H2156">
            <v>26.4</v>
          </cell>
        </row>
        <row r="2157">
          <cell r="D2157">
            <v>13676.76</v>
          </cell>
          <cell r="H2157">
            <v>28.31</v>
          </cell>
        </row>
        <row r="2158">
          <cell r="D2158">
            <v>13676.78</v>
          </cell>
          <cell r="H2158">
            <v>38.56</v>
          </cell>
        </row>
        <row r="2159">
          <cell r="D2159">
            <v>13676.78</v>
          </cell>
          <cell r="H2159">
            <v>41.77</v>
          </cell>
        </row>
        <row r="2160">
          <cell r="D2160">
            <v>13676.83</v>
          </cell>
          <cell r="H2160">
            <v>22.47</v>
          </cell>
        </row>
        <row r="2161">
          <cell r="D2161">
            <v>13676.97</v>
          </cell>
          <cell r="H2161">
            <v>12.4</v>
          </cell>
        </row>
        <row r="2162">
          <cell r="D2162">
            <v>13677.12</v>
          </cell>
          <cell r="H2162">
            <v>18.38</v>
          </cell>
        </row>
        <row r="2163">
          <cell r="D2163">
            <v>13677.19</v>
          </cell>
          <cell r="H2163">
            <v>16.989999999999998</v>
          </cell>
        </row>
        <row r="2164">
          <cell r="D2164">
            <v>13677.19</v>
          </cell>
          <cell r="H2164">
            <v>23.29</v>
          </cell>
        </row>
        <row r="2165">
          <cell r="D2165">
            <v>13726.76</v>
          </cell>
          <cell r="H2165">
            <v>26.8</v>
          </cell>
        </row>
        <row r="2166">
          <cell r="D2166">
            <v>13726.78</v>
          </cell>
          <cell r="H2166">
            <v>43.69</v>
          </cell>
        </row>
        <row r="2167">
          <cell r="D2167">
            <v>13726.78</v>
          </cell>
          <cell r="H2167">
            <v>42.77</v>
          </cell>
        </row>
        <row r="2168">
          <cell r="D2168">
            <v>13726.83</v>
          </cell>
          <cell r="H2168">
            <v>20.82</v>
          </cell>
        </row>
        <row r="2169">
          <cell r="D2169">
            <v>13726.97</v>
          </cell>
          <cell r="H2169">
            <v>19.97</v>
          </cell>
        </row>
        <row r="2170">
          <cell r="D2170">
            <v>13727.12</v>
          </cell>
          <cell r="H2170">
            <v>25.75</v>
          </cell>
        </row>
        <row r="2171">
          <cell r="D2171">
            <v>13727.19</v>
          </cell>
          <cell r="H2171">
            <v>14.9</v>
          </cell>
        </row>
        <row r="2172">
          <cell r="D2172">
            <v>13727.19</v>
          </cell>
          <cell r="H2172">
            <v>30.74</v>
          </cell>
        </row>
        <row r="2173">
          <cell r="D2173">
            <v>13776.76</v>
          </cell>
          <cell r="H2173">
            <v>27.53</v>
          </cell>
        </row>
        <row r="2174">
          <cell r="D2174">
            <v>13776.78</v>
          </cell>
          <cell r="H2174">
            <v>41.14</v>
          </cell>
        </row>
        <row r="2175">
          <cell r="D2175">
            <v>13776.78</v>
          </cell>
          <cell r="H2175">
            <v>41.99</v>
          </cell>
        </row>
        <row r="2176">
          <cell r="D2176">
            <v>13776.83</v>
          </cell>
          <cell r="H2176">
            <v>21.62</v>
          </cell>
        </row>
        <row r="2177">
          <cell r="D2177">
            <v>13776.97</v>
          </cell>
          <cell r="H2177">
            <v>15.09</v>
          </cell>
        </row>
        <row r="2178">
          <cell r="D2178">
            <v>13777.12</v>
          </cell>
          <cell r="H2178">
            <v>21.13</v>
          </cell>
        </row>
        <row r="2179">
          <cell r="D2179">
            <v>13777.19</v>
          </cell>
          <cell r="H2179">
            <v>15.85</v>
          </cell>
        </row>
        <row r="2180">
          <cell r="D2180">
            <v>13777.19</v>
          </cell>
          <cell r="H2180">
            <v>26.67</v>
          </cell>
        </row>
        <row r="2181">
          <cell r="D2181">
            <v>13819.97</v>
          </cell>
          <cell r="H2181">
            <v>34.35</v>
          </cell>
        </row>
        <row r="2182">
          <cell r="D2182">
            <v>13820.02</v>
          </cell>
          <cell r="H2182">
            <v>34.58</v>
          </cell>
        </row>
        <row r="2183">
          <cell r="D2183">
            <v>13820.15</v>
          </cell>
          <cell r="H2183">
            <v>20.260000000000002</v>
          </cell>
        </row>
        <row r="2184">
          <cell r="D2184">
            <v>13820.15</v>
          </cell>
          <cell r="H2184">
            <v>8.42</v>
          </cell>
        </row>
        <row r="2185">
          <cell r="D2185">
            <v>13820.2</v>
          </cell>
          <cell r="H2185">
            <v>14.33</v>
          </cell>
        </row>
        <row r="2186">
          <cell r="D2186">
            <v>13820.3</v>
          </cell>
          <cell r="H2186">
            <v>15.06</v>
          </cell>
        </row>
        <row r="2187">
          <cell r="D2187">
            <v>13820.38</v>
          </cell>
          <cell r="H2187">
            <v>9.18</v>
          </cell>
        </row>
        <row r="2188">
          <cell r="D2188">
            <v>13820.46</v>
          </cell>
          <cell r="H2188">
            <v>20.91</v>
          </cell>
        </row>
        <row r="2189">
          <cell r="D2189">
            <v>13869.98</v>
          </cell>
          <cell r="H2189">
            <v>38.590000000000003</v>
          </cell>
        </row>
        <row r="2190">
          <cell r="D2190">
            <v>13870.08</v>
          </cell>
          <cell r="H2190">
            <v>37.01</v>
          </cell>
        </row>
        <row r="2191">
          <cell r="D2191">
            <v>13870.15</v>
          </cell>
          <cell r="H2191">
            <v>25.38</v>
          </cell>
        </row>
        <row r="2192">
          <cell r="D2192">
            <v>13870.15</v>
          </cell>
          <cell r="H2192">
            <v>14.02</v>
          </cell>
        </row>
        <row r="2193">
          <cell r="D2193">
            <v>13870.2</v>
          </cell>
          <cell r="H2193">
            <v>19.61</v>
          </cell>
        </row>
        <row r="2194">
          <cell r="D2194">
            <v>13870.3</v>
          </cell>
          <cell r="H2194">
            <v>15.67</v>
          </cell>
        </row>
        <row r="2195">
          <cell r="D2195">
            <v>13870.38</v>
          </cell>
          <cell r="H2195">
            <v>9.67</v>
          </cell>
        </row>
        <row r="2196">
          <cell r="D2196">
            <v>13870.46</v>
          </cell>
          <cell r="H2196">
            <v>21.39</v>
          </cell>
        </row>
        <row r="2197">
          <cell r="D2197">
            <v>13919.98</v>
          </cell>
          <cell r="H2197">
            <v>45.31</v>
          </cell>
        </row>
        <row r="2198">
          <cell r="D2198">
            <v>13920.08</v>
          </cell>
          <cell r="H2198">
            <v>43.77</v>
          </cell>
        </row>
        <row r="2199">
          <cell r="D2199">
            <v>13920.15</v>
          </cell>
          <cell r="H2199">
            <v>31.64</v>
          </cell>
        </row>
        <row r="2200">
          <cell r="D2200">
            <v>13920.15</v>
          </cell>
          <cell r="H2200">
            <v>20.329999999999998</v>
          </cell>
        </row>
        <row r="2201">
          <cell r="D2201">
            <v>13920.2</v>
          </cell>
          <cell r="H2201">
            <v>25.91</v>
          </cell>
        </row>
        <row r="2202">
          <cell r="D2202">
            <v>13920.3</v>
          </cell>
          <cell r="H2202">
            <v>22.53</v>
          </cell>
        </row>
        <row r="2203">
          <cell r="D2203">
            <v>13920.38</v>
          </cell>
          <cell r="H2203">
            <v>16.600000000000001</v>
          </cell>
        </row>
        <row r="2204">
          <cell r="D2204">
            <v>13920.46</v>
          </cell>
          <cell r="H2204">
            <v>28.05</v>
          </cell>
        </row>
        <row r="2205">
          <cell r="D2205">
            <v>13969.98</v>
          </cell>
          <cell r="H2205">
            <v>41.09</v>
          </cell>
        </row>
        <row r="2206">
          <cell r="D2206">
            <v>13970.08</v>
          </cell>
          <cell r="H2206">
            <v>39.049999999999997</v>
          </cell>
        </row>
        <row r="2207">
          <cell r="D2207">
            <v>13970.15</v>
          </cell>
          <cell r="H2207">
            <v>28.59</v>
          </cell>
        </row>
        <row r="2208">
          <cell r="D2208">
            <v>13970.15</v>
          </cell>
          <cell r="H2208">
            <v>17.71</v>
          </cell>
        </row>
        <row r="2209">
          <cell r="D2209">
            <v>13970.2</v>
          </cell>
          <cell r="H2209">
            <v>23</v>
          </cell>
        </row>
        <row r="2210">
          <cell r="D2210">
            <v>13970.3</v>
          </cell>
          <cell r="H2210">
            <v>17.47</v>
          </cell>
        </row>
        <row r="2211">
          <cell r="D2211">
            <v>13970.38</v>
          </cell>
          <cell r="H2211">
            <v>11.6</v>
          </cell>
        </row>
        <row r="2212">
          <cell r="D2212">
            <v>13970.46</v>
          </cell>
          <cell r="H2212">
            <v>22.87</v>
          </cell>
        </row>
        <row r="2213">
          <cell r="D2213">
            <v>14019.98</v>
          </cell>
          <cell r="H2213">
            <v>41.27</v>
          </cell>
        </row>
        <row r="2214">
          <cell r="D2214">
            <v>14020.08</v>
          </cell>
          <cell r="H2214">
            <v>39.93</v>
          </cell>
        </row>
        <row r="2215">
          <cell r="D2215">
            <v>14020.15</v>
          </cell>
          <cell r="H2215">
            <v>28.2</v>
          </cell>
        </row>
        <row r="2216">
          <cell r="D2216">
            <v>14020.15</v>
          </cell>
          <cell r="H2216">
            <v>17.16</v>
          </cell>
        </row>
        <row r="2217">
          <cell r="D2217">
            <v>14020.2</v>
          </cell>
          <cell r="H2217">
            <v>22.58</v>
          </cell>
        </row>
        <row r="2218">
          <cell r="D2218">
            <v>14020.3</v>
          </cell>
          <cell r="H2218">
            <v>19.18</v>
          </cell>
        </row>
        <row r="2219">
          <cell r="D2219">
            <v>14020.38</v>
          </cell>
          <cell r="H2219">
            <v>13.41</v>
          </cell>
        </row>
        <row r="2220">
          <cell r="D2220">
            <v>14020.46</v>
          </cell>
          <cell r="H2220">
            <v>24.39</v>
          </cell>
        </row>
        <row r="2221">
          <cell r="D2221">
            <v>14069.98</v>
          </cell>
          <cell r="H2221">
            <v>40.44</v>
          </cell>
        </row>
        <row r="2222">
          <cell r="D2222">
            <v>14070.08</v>
          </cell>
          <cell r="H2222">
            <v>39.17</v>
          </cell>
        </row>
        <row r="2223">
          <cell r="D2223">
            <v>14070.15</v>
          </cell>
          <cell r="H2223">
            <v>27.19</v>
          </cell>
        </row>
        <row r="2224">
          <cell r="D2224">
            <v>14070.15</v>
          </cell>
          <cell r="H2224">
            <v>16.170000000000002</v>
          </cell>
        </row>
        <row r="2225">
          <cell r="D2225">
            <v>14070.2</v>
          </cell>
          <cell r="H2225">
            <v>21.65</v>
          </cell>
        </row>
        <row r="2226">
          <cell r="D2226">
            <v>14070.3</v>
          </cell>
          <cell r="H2226">
            <v>17.89</v>
          </cell>
        </row>
        <row r="2227">
          <cell r="D2227">
            <v>14070.38</v>
          </cell>
          <cell r="H2227">
            <v>12.04</v>
          </cell>
        </row>
        <row r="2228">
          <cell r="D2228">
            <v>14070.46</v>
          </cell>
          <cell r="H2228">
            <v>23.32</v>
          </cell>
        </row>
        <row r="2229">
          <cell r="D2229">
            <v>14106.04</v>
          </cell>
          <cell r="H2229">
            <v>18.45</v>
          </cell>
        </row>
        <row r="2230">
          <cell r="D2230">
            <v>14106.07</v>
          </cell>
          <cell r="H2230">
            <v>12.96</v>
          </cell>
        </row>
        <row r="2231">
          <cell r="D2231">
            <v>14106.31</v>
          </cell>
          <cell r="H2231">
            <v>12.34</v>
          </cell>
        </row>
        <row r="2232">
          <cell r="D2232">
            <v>14106.31</v>
          </cell>
          <cell r="H2232">
            <v>17.829999999999998</v>
          </cell>
        </row>
        <row r="2233">
          <cell r="D2233">
            <v>14106.31</v>
          </cell>
          <cell r="H2233">
            <v>23.35</v>
          </cell>
        </row>
        <row r="2234">
          <cell r="D2234">
            <v>14106.31</v>
          </cell>
          <cell r="H2234">
            <v>36.76</v>
          </cell>
        </row>
        <row r="2235">
          <cell r="D2235">
            <v>14106.37</v>
          </cell>
          <cell r="H2235">
            <v>36.89</v>
          </cell>
        </row>
        <row r="2236">
          <cell r="D2236">
            <v>14106.57</v>
          </cell>
          <cell r="H2236">
            <v>23.96</v>
          </cell>
        </row>
        <row r="2237">
          <cell r="D2237">
            <v>14156.18</v>
          </cell>
          <cell r="H2237">
            <v>15.58</v>
          </cell>
        </row>
        <row r="2238">
          <cell r="D2238">
            <v>14156.18</v>
          </cell>
          <cell r="H2238">
            <v>20.86</v>
          </cell>
        </row>
        <row r="2239">
          <cell r="D2239">
            <v>14156.2</v>
          </cell>
          <cell r="H2239">
            <v>26.37</v>
          </cell>
        </row>
        <row r="2240">
          <cell r="D2240">
            <v>14156.26</v>
          </cell>
          <cell r="H2240">
            <v>40.06</v>
          </cell>
        </row>
        <row r="2241">
          <cell r="D2241">
            <v>14156.37</v>
          </cell>
          <cell r="H2241">
            <v>40.58</v>
          </cell>
        </row>
        <row r="2242">
          <cell r="D2242">
            <v>14156.41</v>
          </cell>
          <cell r="H2242">
            <v>22.82</v>
          </cell>
        </row>
        <row r="2243">
          <cell r="D2243">
            <v>14156.47</v>
          </cell>
          <cell r="H2243">
            <v>17.57</v>
          </cell>
        </row>
        <row r="2244">
          <cell r="D2244">
            <v>14156.57</v>
          </cell>
          <cell r="H2244">
            <v>28.16</v>
          </cell>
        </row>
        <row r="2245">
          <cell r="D2245">
            <v>14206.18</v>
          </cell>
          <cell r="H2245">
            <v>17.78</v>
          </cell>
        </row>
        <row r="2246">
          <cell r="D2246">
            <v>14206.18</v>
          </cell>
          <cell r="H2246">
            <v>23.31</v>
          </cell>
        </row>
        <row r="2247">
          <cell r="D2247">
            <v>14206.2</v>
          </cell>
          <cell r="H2247">
            <v>28.95</v>
          </cell>
        </row>
        <row r="2248">
          <cell r="D2248">
            <v>14206.26</v>
          </cell>
          <cell r="H2248">
            <v>44.07</v>
          </cell>
        </row>
        <row r="2249">
          <cell r="D2249">
            <v>14206.37</v>
          </cell>
          <cell r="H2249">
            <v>45.02</v>
          </cell>
        </row>
        <row r="2250">
          <cell r="D2250">
            <v>14206.41</v>
          </cell>
          <cell r="H2250">
            <v>27.46</v>
          </cell>
        </row>
        <row r="2251">
          <cell r="D2251">
            <v>14206.47</v>
          </cell>
          <cell r="H2251">
            <v>22.27</v>
          </cell>
        </row>
        <row r="2252">
          <cell r="D2252">
            <v>14206.57</v>
          </cell>
          <cell r="H2252">
            <v>32.630000000000003</v>
          </cell>
        </row>
        <row r="2253">
          <cell r="D2253">
            <v>14256.18</v>
          </cell>
          <cell r="H2253">
            <v>14.99</v>
          </cell>
        </row>
        <row r="2254">
          <cell r="D2254">
            <v>14256.18</v>
          </cell>
          <cell r="H2254">
            <v>20.32</v>
          </cell>
        </row>
        <row r="2255">
          <cell r="D2255">
            <v>14256.2</v>
          </cell>
          <cell r="H2255">
            <v>25.94</v>
          </cell>
        </row>
        <row r="2256">
          <cell r="D2256">
            <v>14256.26</v>
          </cell>
          <cell r="H2256">
            <v>41.21</v>
          </cell>
        </row>
        <row r="2257">
          <cell r="D2257">
            <v>14256.37</v>
          </cell>
          <cell r="H2257">
            <v>42.38</v>
          </cell>
        </row>
        <row r="2258">
          <cell r="D2258">
            <v>14256.41</v>
          </cell>
          <cell r="H2258">
            <v>24.73</v>
          </cell>
        </row>
        <row r="2259">
          <cell r="D2259">
            <v>14256.47</v>
          </cell>
          <cell r="H2259">
            <v>19.690000000000001</v>
          </cell>
        </row>
        <row r="2260">
          <cell r="D2260">
            <v>14256.57</v>
          </cell>
          <cell r="H2260">
            <v>29.8</v>
          </cell>
        </row>
        <row r="2261">
          <cell r="D2261">
            <v>14306.18</v>
          </cell>
          <cell r="H2261">
            <v>23.33</v>
          </cell>
        </row>
        <row r="2262">
          <cell r="D2262">
            <v>14306.18</v>
          </cell>
          <cell r="H2262">
            <v>28.61</v>
          </cell>
        </row>
        <row r="2263">
          <cell r="D2263">
            <v>14306.2</v>
          </cell>
          <cell r="H2263">
            <v>34.25</v>
          </cell>
        </row>
        <row r="2264">
          <cell r="D2264">
            <v>14306.26</v>
          </cell>
          <cell r="H2264">
            <v>49.51</v>
          </cell>
        </row>
        <row r="2265">
          <cell r="D2265">
            <v>14306.37</v>
          </cell>
          <cell r="H2265">
            <v>49.86</v>
          </cell>
        </row>
        <row r="2266">
          <cell r="D2266">
            <v>14306.41</v>
          </cell>
          <cell r="H2266">
            <v>31.44</v>
          </cell>
        </row>
        <row r="2267">
          <cell r="D2267">
            <v>14306.47</v>
          </cell>
          <cell r="H2267">
            <v>26.34</v>
          </cell>
        </row>
        <row r="2268">
          <cell r="D2268">
            <v>14306.57</v>
          </cell>
          <cell r="H2268">
            <v>36.479999999999997</v>
          </cell>
        </row>
        <row r="2269">
          <cell r="D2269">
            <v>14356.18</v>
          </cell>
          <cell r="H2269">
            <v>20.04</v>
          </cell>
        </row>
        <row r="2270">
          <cell r="D2270">
            <v>14356.18</v>
          </cell>
          <cell r="H2270">
            <v>25.36</v>
          </cell>
        </row>
        <row r="2271">
          <cell r="D2271">
            <v>14356.2</v>
          </cell>
          <cell r="H2271">
            <v>31.04</v>
          </cell>
        </row>
        <row r="2272">
          <cell r="D2272">
            <v>14356.26</v>
          </cell>
          <cell r="H2272">
            <v>46.97</v>
          </cell>
        </row>
        <row r="2273">
          <cell r="D2273">
            <v>14356.37</v>
          </cell>
          <cell r="H2273">
            <v>48.27</v>
          </cell>
        </row>
        <row r="2274">
          <cell r="D2274">
            <v>14356.41</v>
          </cell>
          <cell r="H2274">
            <v>30.34</v>
          </cell>
        </row>
        <row r="2275">
          <cell r="D2275">
            <v>14356.47</v>
          </cell>
          <cell r="H2275">
            <v>25.27</v>
          </cell>
        </row>
        <row r="2276">
          <cell r="D2276">
            <v>14356.57</v>
          </cell>
          <cell r="H2276">
            <v>35.33</v>
          </cell>
        </row>
        <row r="2277">
          <cell r="D2277">
            <v>14406.18</v>
          </cell>
          <cell r="H2277">
            <v>23.39</v>
          </cell>
        </row>
        <row r="2278">
          <cell r="D2278">
            <v>14406.18</v>
          </cell>
          <cell r="H2278">
            <v>28.61</v>
          </cell>
        </row>
        <row r="2279">
          <cell r="D2279">
            <v>14406.2</v>
          </cell>
          <cell r="H2279">
            <v>34.25</v>
          </cell>
        </row>
        <row r="2280">
          <cell r="D2280">
            <v>14406.26</v>
          </cell>
          <cell r="H2280">
            <v>49.64</v>
          </cell>
        </row>
        <row r="2281">
          <cell r="D2281">
            <v>14406.37</v>
          </cell>
          <cell r="H2281">
            <v>51.01</v>
          </cell>
        </row>
        <row r="2282">
          <cell r="D2282">
            <v>14406.41</v>
          </cell>
          <cell r="H2282">
            <v>34</v>
          </cell>
        </row>
        <row r="2283">
          <cell r="D2283">
            <v>14406.47</v>
          </cell>
          <cell r="H2283">
            <v>29.11</v>
          </cell>
        </row>
        <row r="2284">
          <cell r="D2284">
            <v>14406.57</v>
          </cell>
          <cell r="H2284">
            <v>38.99</v>
          </cell>
        </row>
        <row r="2285">
          <cell r="D2285">
            <v>14456.18</v>
          </cell>
          <cell r="H2285">
            <v>21.93</v>
          </cell>
        </row>
        <row r="2286">
          <cell r="D2286">
            <v>14456.18</v>
          </cell>
          <cell r="H2286">
            <v>27.19</v>
          </cell>
        </row>
        <row r="2287">
          <cell r="D2287">
            <v>14456.2</v>
          </cell>
          <cell r="H2287">
            <v>32.82</v>
          </cell>
        </row>
        <row r="2288">
          <cell r="D2288">
            <v>14456.26</v>
          </cell>
          <cell r="H2288">
            <v>48.01</v>
          </cell>
        </row>
        <row r="2289">
          <cell r="D2289">
            <v>14456.37</v>
          </cell>
          <cell r="H2289">
            <v>48.83</v>
          </cell>
        </row>
        <row r="2290">
          <cell r="D2290">
            <v>14456.41</v>
          </cell>
          <cell r="H2290">
            <v>30.93</v>
          </cell>
        </row>
        <row r="2291">
          <cell r="D2291">
            <v>14456.47</v>
          </cell>
          <cell r="H2291">
            <v>25.84</v>
          </cell>
        </row>
        <row r="2292">
          <cell r="D2292">
            <v>14456.57</v>
          </cell>
          <cell r="H2292">
            <v>35.96</v>
          </cell>
        </row>
        <row r="2293">
          <cell r="D2293">
            <v>14506.18</v>
          </cell>
          <cell r="H2293">
            <v>22.88</v>
          </cell>
        </row>
        <row r="2294">
          <cell r="D2294">
            <v>14506.18</v>
          </cell>
          <cell r="H2294">
            <v>28.24</v>
          </cell>
        </row>
        <row r="2295">
          <cell r="D2295">
            <v>14506.2</v>
          </cell>
          <cell r="H2295">
            <v>33.85</v>
          </cell>
        </row>
        <row r="2296">
          <cell r="D2296">
            <v>14506.26</v>
          </cell>
          <cell r="H2296">
            <v>48.98</v>
          </cell>
        </row>
        <row r="2297">
          <cell r="D2297">
            <v>14506.37</v>
          </cell>
          <cell r="H2297">
            <v>50.34</v>
          </cell>
        </row>
        <row r="2298">
          <cell r="D2298">
            <v>14506.41</v>
          </cell>
          <cell r="H2298">
            <v>33.42</v>
          </cell>
        </row>
        <row r="2299">
          <cell r="D2299">
            <v>14506.47</v>
          </cell>
          <cell r="H2299">
            <v>28.33</v>
          </cell>
        </row>
        <row r="2300">
          <cell r="D2300">
            <v>14506.57</v>
          </cell>
          <cell r="H2300">
            <v>38.51</v>
          </cell>
        </row>
        <row r="2301">
          <cell r="D2301">
            <v>14556.18</v>
          </cell>
          <cell r="H2301">
            <v>30.26</v>
          </cell>
        </row>
        <row r="2302">
          <cell r="D2302">
            <v>14556.18</v>
          </cell>
          <cell r="H2302">
            <v>35.57</v>
          </cell>
        </row>
        <row r="2303">
          <cell r="D2303">
            <v>14556.2</v>
          </cell>
          <cell r="H2303">
            <v>41.13</v>
          </cell>
        </row>
        <row r="2304">
          <cell r="D2304">
            <v>14556.26</v>
          </cell>
          <cell r="H2304">
            <v>54.76</v>
          </cell>
        </row>
        <row r="2305">
          <cell r="D2305">
            <v>14556.37</v>
          </cell>
          <cell r="H2305">
            <v>54.77</v>
          </cell>
        </row>
        <row r="2306">
          <cell r="D2306">
            <v>14556.41</v>
          </cell>
          <cell r="H2306">
            <v>36.04</v>
          </cell>
        </row>
        <row r="2307">
          <cell r="D2307">
            <v>14556.47</v>
          </cell>
          <cell r="H2307">
            <v>30.68</v>
          </cell>
        </row>
        <row r="2308">
          <cell r="D2308">
            <v>14556.57</v>
          </cell>
          <cell r="H2308">
            <v>41.28</v>
          </cell>
        </row>
        <row r="2309">
          <cell r="D2309">
            <v>14606.18</v>
          </cell>
          <cell r="H2309">
            <v>19.28</v>
          </cell>
        </row>
        <row r="2310">
          <cell r="D2310">
            <v>14606.18</v>
          </cell>
          <cell r="H2310">
            <v>24.72</v>
          </cell>
        </row>
        <row r="2311">
          <cell r="D2311">
            <v>14606.2</v>
          </cell>
          <cell r="H2311">
            <v>30.24</v>
          </cell>
        </row>
        <row r="2312">
          <cell r="D2312">
            <v>14606.26</v>
          </cell>
          <cell r="H2312">
            <v>43.73</v>
          </cell>
        </row>
        <row r="2313">
          <cell r="D2313">
            <v>14606.37</v>
          </cell>
          <cell r="H2313">
            <v>43.84</v>
          </cell>
        </row>
        <row r="2314">
          <cell r="D2314">
            <v>14606.41</v>
          </cell>
          <cell r="H2314">
            <v>25.6</v>
          </cell>
        </row>
        <row r="2315">
          <cell r="D2315">
            <v>14606.47</v>
          </cell>
          <cell r="H2315">
            <v>20.21</v>
          </cell>
        </row>
        <row r="2316">
          <cell r="D2316">
            <v>14606.57</v>
          </cell>
          <cell r="H2316">
            <v>30.93</v>
          </cell>
        </row>
        <row r="2317">
          <cell r="D2317">
            <v>14633.3</v>
          </cell>
          <cell r="H2317">
            <v>20.56</v>
          </cell>
        </row>
        <row r="2318">
          <cell r="D2318">
            <v>14633.37</v>
          </cell>
          <cell r="H2318">
            <v>26.02</v>
          </cell>
        </row>
        <row r="2319">
          <cell r="D2319">
            <v>14633.38</v>
          </cell>
          <cell r="H2319">
            <v>15.13</v>
          </cell>
        </row>
        <row r="2320">
          <cell r="D2320">
            <v>14633.59</v>
          </cell>
          <cell r="H2320">
            <v>38.57</v>
          </cell>
        </row>
        <row r="2321">
          <cell r="D2321">
            <v>14633.64</v>
          </cell>
          <cell r="H2321">
            <v>13.63</v>
          </cell>
        </row>
        <row r="2322">
          <cell r="D2322">
            <v>14633.64</v>
          </cell>
          <cell r="H2322">
            <v>19.170000000000002</v>
          </cell>
        </row>
        <row r="2323">
          <cell r="D2323">
            <v>14633.64</v>
          </cell>
          <cell r="H2323">
            <v>24.69</v>
          </cell>
        </row>
        <row r="2324">
          <cell r="D2324">
            <v>14633.64</v>
          </cell>
          <cell r="H2324">
            <v>38.08</v>
          </cell>
        </row>
        <row r="2325">
          <cell r="D2325">
            <v>14683.43</v>
          </cell>
          <cell r="H2325">
            <v>25.89</v>
          </cell>
        </row>
        <row r="2326">
          <cell r="D2326">
            <v>14683.52</v>
          </cell>
          <cell r="H2326">
            <v>20.399999999999999</v>
          </cell>
        </row>
        <row r="2327">
          <cell r="D2327">
            <v>14683.59</v>
          </cell>
          <cell r="H2327">
            <v>14.95</v>
          </cell>
        </row>
        <row r="2328">
          <cell r="D2328">
            <v>14683.59</v>
          </cell>
          <cell r="H2328">
            <v>40.119999999999997</v>
          </cell>
        </row>
        <row r="2329">
          <cell r="D2329">
            <v>14683.7</v>
          </cell>
          <cell r="H2329">
            <v>40.81</v>
          </cell>
        </row>
        <row r="2330">
          <cell r="D2330">
            <v>14683.72</v>
          </cell>
          <cell r="H2330">
            <v>23.07</v>
          </cell>
        </row>
        <row r="2331">
          <cell r="D2331">
            <v>14683.79</v>
          </cell>
          <cell r="H2331">
            <v>28.47</v>
          </cell>
        </row>
        <row r="2332">
          <cell r="D2332">
            <v>14683.83</v>
          </cell>
          <cell r="H2332">
            <v>17.79</v>
          </cell>
        </row>
        <row r="2333">
          <cell r="D2333">
            <v>14733.43</v>
          </cell>
          <cell r="H2333">
            <v>17.16</v>
          </cell>
        </row>
        <row r="2334">
          <cell r="D2334">
            <v>14733.52</v>
          </cell>
          <cell r="H2334">
            <v>11.7</v>
          </cell>
        </row>
        <row r="2335">
          <cell r="D2335">
            <v>14733.59</v>
          </cell>
          <cell r="H2335">
            <v>6.28</v>
          </cell>
        </row>
        <row r="2336">
          <cell r="D2336">
            <v>14733.59</v>
          </cell>
          <cell r="H2336">
            <v>31.66</v>
          </cell>
        </row>
        <row r="2337">
          <cell r="D2337">
            <v>14733.7</v>
          </cell>
          <cell r="H2337">
            <v>32.1</v>
          </cell>
        </row>
        <row r="2338">
          <cell r="D2338">
            <v>14733.72</v>
          </cell>
          <cell r="H2338">
            <v>13.23</v>
          </cell>
        </row>
        <row r="2339">
          <cell r="D2339">
            <v>14733.79</v>
          </cell>
          <cell r="H2339">
            <v>18.63</v>
          </cell>
        </row>
        <row r="2340">
          <cell r="D2340">
            <v>14733.83</v>
          </cell>
          <cell r="H2340">
            <v>7.92</v>
          </cell>
        </row>
        <row r="2341">
          <cell r="D2341">
            <v>14783.43</v>
          </cell>
          <cell r="H2341">
            <v>22.75</v>
          </cell>
        </row>
        <row r="2342">
          <cell r="D2342">
            <v>14783.52</v>
          </cell>
          <cell r="H2342">
            <v>17.3</v>
          </cell>
        </row>
        <row r="2343">
          <cell r="D2343">
            <v>14783.59</v>
          </cell>
          <cell r="H2343">
            <v>11.98</v>
          </cell>
        </row>
        <row r="2344">
          <cell r="D2344">
            <v>14783.59</v>
          </cell>
          <cell r="H2344">
            <v>36.590000000000003</v>
          </cell>
        </row>
        <row r="2345">
          <cell r="D2345">
            <v>14783.7</v>
          </cell>
          <cell r="H2345">
            <v>36.44</v>
          </cell>
        </row>
        <row r="2346">
          <cell r="D2346">
            <v>14783.72</v>
          </cell>
          <cell r="H2346">
            <v>16.850000000000001</v>
          </cell>
        </row>
        <row r="2347">
          <cell r="D2347">
            <v>14783.79</v>
          </cell>
          <cell r="H2347">
            <v>22.25</v>
          </cell>
        </row>
        <row r="2348">
          <cell r="D2348">
            <v>14783.83</v>
          </cell>
          <cell r="H2348">
            <v>11.5</v>
          </cell>
        </row>
        <row r="2349">
          <cell r="D2349">
            <v>14833.43</v>
          </cell>
          <cell r="H2349">
            <v>30.87</v>
          </cell>
        </row>
        <row r="2350">
          <cell r="D2350">
            <v>14833.52</v>
          </cell>
          <cell r="H2350">
            <v>25.43</v>
          </cell>
        </row>
        <row r="2351">
          <cell r="D2351">
            <v>14833.58</v>
          </cell>
          <cell r="H2351">
            <v>20.07</v>
          </cell>
        </row>
        <row r="2352">
          <cell r="D2352">
            <v>14833.59</v>
          </cell>
          <cell r="H2352">
            <v>44.7</v>
          </cell>
        </row>
        <row r="2353">
          <cell r="D2353">
            <v>14833.7</v>
          </cell>
          <cell r="H2353">
            <v>44.48</v>
          </cell>
        </row>
        <row r="2354">
          <cell r="D2354">
            <v>14833.72</v>
          </cell>
          <cell r="H2354">
            <v>24.82</v>
          </cell>
        </row>
        <row r="2355">
          <cell r="D2355">
            <v>14833.79</v>
          </cell>
          <cell r="H2355">
            <v>30.25</v>
          </cell>
        </row>
        <row r="2356">
          <cell r="D2356">
            <v>14833.83</v>
          </cell>
          <cell r="H2356">
            <v>19.43</v>
          </cell>
        </row>
        <row r="2357">
          <cell r="D2357">
            <v>14883.43</v>
          </cell>
          <cell r="H2357">
            <v>26.98</v>
          </cell>
        </row>
        <row r="2358">
          <cell r="D2358">
            <v>14883.52</v>
          </cell>
          <cell r="H2358">
            <v>21.52</v>
          </cell>
        </row>
        <row r="2359">
          <cell r="D2359">
            <v>14883.58</v>
          </cell>
          <cell r="H2359">
            <v>16.079999999999998</v>
          </cell>
        </row>
        <row r="2360">
          <cell r="D2360">
            <v>14883.59</v>
          </cell>
          <cell r="H2360">
            <v>40.89</v>
          </cell>
        </row>
        <row r="2361">
          <cell r="D2361">
            <v>14883.7</v>
          </cell>
          <cell r="H2361">
            <v>40.909999999999997</v>
          </cell>
        </row>
        <row r="2362">
          <cell r="D2362">
            <v>14883.72</v>
          </cell>
          <cell r="H2362">
            <v>22</v>
          </cell>
        </row>
        <row r="2363">
          <cell r="D2363">
            <v>14883.78</v>
          </cell>
          <cell r="H2363">
            <v>27.46</v>
          </cell>
        </row>
        <row r="2364">
          <cell r="D2364">
            <v>14883.83</v>
          </cell>
          <cell r="H2364">
            <v>16.57</v>
          </cell>
        </row>
        <row r="2365">
          <cell r="D2365">
            <v>14900.66</v>
          </cell>
          <cell r="H2365">
            <v>16.649999999999999</v>
          </cell>
        </row>
        <row r="2366">
          <cell r="D2366">
            <v>14900.67</v>
          </cell>
          <cell r="H2366">
            <v>21.7</v>
          </cell>
        </row>
        <row r="2367">
          <cell r="D2367">
            <v>14900.68</v>
          </cell>
          <cell r="H2367">
            <v>16.2</v>
          </cell>
        </row>
        <row r="2368">
          <cell r="D2368">
            <v>14900.69</v>
          </cell>
          <cell r="H2368">
            <v>22.1</v>
          </cell>
        </row>
        <row r="2369">
          <cell r="D2369">
            <v>14900.7</v>
          </cell>
          <cell r="H2369">
            <v>27.58</v>
          </cell>
        </row>
        <row r="2370">
          <cell r="D2370">
            <v>14900.7</v>
          </cell>
          <cell r="H2370">
            <v>27.18</v>
          </cell>
        </row>
        <row r="2371">
          <cell r="D2371">
            <v>14900.88</v>
          </cell>
          <cell r="H2371">
            <v>40.97</v>
          </cell>
        </row>
        <row r="2372">
          <cell r="D2372">
            <v>14900.88</v>
          </cell>
          <cell r="H2372">
            <v>41.07</v>
          </cell>
        </row>
        <row r="2373">
          <cell r="D2373">
            <v>14950.66</v>
          </cell>
          <cell r="H2373">
            <v>15.89</v>
          </cell>
        </row>
        <row r="2374">
          <cell r="D2374">
            <v>14950.67</v>
          </cell>
          <cell r="H2374">
            <v>19.28</v>
          </cell>
        </row>
        <row r="2375">
          <cell r="D2375">
            <v>14950.68</v>
          </cell>
          <cell r="H2375">
            <v>13.92</v>
          </cell>
        </row>
        <row r="2376">
          <cell r="D2376">
            <v>14950.69</v>
          </cell>
          <cell r="H2376">
            <v>21.13</v>
          </cell>
        </row>
        <row r="2377">
          <cell r="D2377">
            <v>14950.7</v>
          </cell>
          <cell r="H2377">
            <v>26.5</v>
          </cell>
        </row>
        <row r="2378">
          <cell r="D2378">
            <v>14950.7</v>
          </cell>
          <cell r="H2378">
            <v>24.75</v>
          </cell>
        </row>
        <row r="2379">
          <cell r="D2379">
            <v>14950.88</v>
          </cell>
          <cell r="H2379">
            <v>39.04</v>
          </cell>
        </row>
        <row r="2380">
          <cell r="D2380">
            <v>14950.88</v>
          </cell>
          <cell r="H2380">
            <v>39.549999999999997</v>
          </cell>
        </row>
        <row r="2381">
          <cell r="D2381">
            <v>15000.66</v>
          </cell>
          <cell r="H2381">
            <v>19.760000000000002</v>
          </cell>
        </row>
        <row r="2382">
          <cell r="D2382">
            <v>15000.67</v>
          </cell>
          <cell r="H2382">
            <v>22.48</v>
          </cell>
        </row>
        <row r="2383">
          <cell r="D2383">
            <v>15000.68</v>
          </cell>
          <cell r="H2383">
            <v>17.170000000000002</v>
          </cell>
        </row>
        <row r="2384">
          <cell r="D2384">
            <v>15000.69</v>
          </cell>
          <cell r="H2384">
            <v>24.98</v>
          </cell>
        </row>
        <row r="2385">
          <cell r="D2385">
            <v>15000.7</v>
          </cell>
          <cell r="H2385">
            <v>30.29</v>
          </cell>
        </row>
        <row r="2386">
          <cell r="D2386">
            <v>15000.7</v>
          </cell>
          <cell r="H2386">
            <v>27.94</v>
          </cell>
        </row>
        <row r="2387">
          <cell r="D2387">
            <v>15000.88</v>
          </cell>
          <cell r="H2387">
            <v>42.91</v>
          </cell>
        </row>
        <row r="2388">
          <cell r="D2388">
            <v>15000.88</v>
          </cell>
          <cell r="H2388">
            <v>44.15</v>
          </cell>
        </row>
        <row r="2389">
          <cell r="D2389">
            <v>15050.66</v>
          </cell>
          <cell r="H2389">
            <v>11.73</v>
          </cell>
        </row>
        <row r="2390">
          <cell r="D2390">
            <v>15050.67</v>
          </cell>
          <cell r="H2390">
            <v>19.440000000000001</v>
          </cell>
        </row>
        <row r="2391">
          <cell r="D2391">
            <v>15050.68</v>
          </cell>
          <cell r="H2391">
            <v>14.41</v>
          </cell>
        </row>
        <row r="2392">
          <cell r="D2392">
            <v>15050.69</v>
          </cell>
          <cell r="H2392">
            <v>16.95</v>
          </cell>
        </row>
        <row r="2393">
          <cell r="D2393">
            <v>15050.7</v>
          </cell>
          <cell r="H2393">
            <v>22.2</v>
          </cell>
        </row>
        <row r="2394">
          <cell r="D2394">
            <v>15050.7</v>
          </cell>
          <cell r="H2394">
            <v>24.88</v>
          </cell>
        </row>
        <row r="2395">
          <cell r="D2395">
            <v>15050.88</v>
          </cell>
          <cell r="H2395">
            <v>38.03</v>
          </cell>
        </row>
        <row r="2396">
          <cell r="D2396">
            <v>15050.88</v>
          </cell>
          <cell r="H2396">
            <v>37.47</v>
          </cell>
        </row>
        <row r="2397">
          <cell r="D2397">
            <v>15100.66</v>
          </cell>
          <cell r="H2397">
            <v>9.56</v>
          </cell>
        </row>
        <row r="2398">
          <cell r="D2398">
            <v>15100.67</v>
          </cell>
          <cell r="H2398">
            <v>15.04</v>
          </cell>
        </row>
        <row r="2399">
          <cell r="D2399">
            <v>15100.68</v>
          </cell>
          <cell r="H2399">
            <v>9.9499999999999993</v>
          </cell>
        </row>
        <row r="2400">
          <cell r="D2400">
            <v>15100.69</v>
          </cell>
          <cell r="H2400">
            <v>14.67</v>
          </cell>
        </row>
        <row r="2401">
          <cell r="D2401">
            <v>15100.7</v>
          </cell>
          <cell r="H2401">
            <v>19.89</v>
          </cell>
        </row>
        <row r="2402">
          <cell r="D2402">
            <v>15100.7</v>
          </cell>
          <cell r="H2402">
            <v>20.49</v>
          </cell>
        </row>
        <row r="2403">
          <cell r="D2403">
            <v>15100.88</v>
          </cell>
          <cell r="H2403">
            <v>34.630000000000003</v>
          </cell>
        </row>
        <row r="2404">
          <cell r="D2404">
            <v>15100.88</v>
          </cell>
          <cell r="H2404">
            <v>34.65</v>
          </cell>
        </row>
        <row r="2405">
          <cell r="D2405">
            <v>15150.66</v>
          </cell>
          <cell r="H2405">
            <v>9.64</v>
          </cell>
        </row>
        <row r="2406">
          <cell r="D2406">
            <v>15150.67</v>
          </cell>
          <cell r="H2406">
            <v>16.13</v>
          </cell>
        </row>
        <row r="2407">
          <cell r="D2407">
            <v>15150.68</v>
          </cell>
          <cell r="H2407">
            <v>11.08</v>
          </cell>
        </row>
        <row r="2408">
          <cell r="D2408">
            <v>15150.69</v>
          </cell>
          <cell r="H2408">
            <v>14.8</v>
          </cell>
        </row>
        <row r="2409">
          <cell r="D2409">
            <v>15150.7</v>
          </cell>
          <cell r="H2409">
            <v>20.02</v>
          </cell>
        </row>
        <row r="2410">
          <cell r="D2410">
            <v>15150.7</v>
          </cell>
          <cell r="H2410">
            <v>21.58</v>
          </cell>
        </row>
        <row r="2411">
          <cell r="D2411">
            <v>15150.88</v>
          </cell>
          <cell r="H2411">
            <v>35.340000000000003</v>
          </cell>
        </row>
        <row r="2412">
          <cell r="D2412">
            <v>15150.88</v>
          </cell>
          <cell r="H2412">
            <v>35.19</v>
          </cell>
        </row>
        <row r="2413">
          <cell r="D2413">
            <v>15200.66</v>
          </cell>
          <cell r="H2413">
            <v>12.03</v>
          </cell>
        </row>
        <row r="2414">
          <cell r="D2414">
            <v>15200.67</v>
          </cell>
          <cell r="H2414">
            <v>18.170000000000002</v>
          </cell>
        </row>
        <row r="2415">
          <cell r="D2415">
            <v>15200.68</v>
          </cell>
          <cell r="H2415">
            <v>13.01</v>
          </cell>
        </row>
        <row r="2416">
          <cell r="D2416">
            <v>15200.69</v>
          </cell>
          <cell r="H2416">
            <v>17.22</v>
          </cell>
        </row>
        <row r="2417">
          <cell r="D2417">
            <v>15200.7</v>
          </cell>
          <cell r="H2417">
            <v>22.46</v>
          </cell>
        </row>
        <row r="2418">
          <cell r="D2418">
            <v>15200.7</v>
          </cell>
          <cell r="H2418">
            <v>23.66</v>
          </cell>
        </row>
        <row r="2419">
          <cell r="D2419">
            <v>15200.88</v>
          </cell>
          <cell r="H2419">
            <v>37.54</v>
          </cell>
        </row>
        <row r="2420">
          <cell r="D2420">
            <v>15200.88</v>
          </cell>
          <cell r="H2420">
            <v>37.14</v>
          </cell>
        </row>
        <row r="2421">
          <cell r="D2421">
            <v>15250.66</v>
          </cell>
          <cell r="H2421">
            <v>7.72</v>
          </cell>
        </row>
        <row r="2422">
          <cell r="D2422">
            <v>15250.67</v>
          </cell>
          <cell r="H2422">
            <v>13.97</v>
          </cell>
        </row>
        <row r="2423">
          <cell r="D2423">
            <v>15250.68</v>
          </cell>
          <cell r="H2423">
            <v>8.8000000000000007</v>
          </cell>
        </row>
        <row r="2424">
          <cell r="D2424">
            <v>15250.69</v>
          </cell>
          <cell r="H2424">
            <v>12.94</v>
          </cell>
        </row>
        <row r="2425">
          <cell r="D2425">
            <v>15250.7</v>
          </cell>
          <cell r="H2425">
            <v>18.22</v>
          </cell>
        </row>
        <row r="2426">
          <cell r="D2426">
            <v>15250.7</v>
          </cell>
          <cell r="H2426">
            <v>19.43</v>
          </cell>
        </row>
        <row r="2427">
          <cell r="D2427">
            <v>15250.88</v>
          </cell>
          <cell r="H2427">
            <v>33.03</v>
          </cell>
        </row>
        <row r="2428">
          <cell r="D2428">
            <v>15250.88</v>
          </cell>
          <cell r="H2428">
            <v>32.840000000000003</v>
          </cell>
        </row>
        <row r="2429">
          <cell r="D2429">
            <v>15300.66</v>
          </cell>
          <cell r="H2429">
            <v>9.25</v>
          </cell>
        </row>
        <row r="2430">
          <cell r="D2430">
            <v>15300.67</v>
          </cell>
          <cell r="H2430">
            <v>16.559999999999999</v>
          </cell>
        </row>
        <row r="2431">
          <cell r="D2431">
            <v>15300.68</v>
          </cell>
          <cell r="H2431">
            <v>11.32</v>
          </cell>
        </row>
        <row r="2432">
          <cell r="D2432">
            <v>15300.69</v>
          </cell>
          <cell r="H2432">
            <v>14.63</v>
          </cell>
        </row>
        <row r="2433">
          <cell r="D2433">
            <v>15300.7</v>
          </cell>
          <cell r="H2433">
            <v>19.989999999999998</v>
          </cell>
        </row>
        <row r="2434">
          <cell r="D2434">
            <v>15300.7</v>
          </cell>
          <cell r="H2434">
            <v>22.03</v>
          </cell>
        </row>
        <row r="2435">
          <cell r="D2435">
            <v>15300.88</v>
          </cell>
          <cell r="H2435">
            <v>35.28</v>
          </cell>
        </row>
        <row r="2436">
          <cell r="D2436">
            <v>15300.88</v>
          </cell>
          <cell r="H2436">
            <v>34.68</v>
          </cell>
        </row>
        <row r="2437">
          <cell r="D2437">
            <v>15350.66</v>
          </cell>
          <cell r="H2437">
            <v>16.22</v>
          </cell>
        </row>
        <row r="2438">
          <cell r="D2438">
            <v>15350.67</v>
          </cell>
          <cell r="H2438">
            <v>23.68</v>
          </cell>
        </row>
        <row r="2439">
          <cell r="D2439">
            <v>15350.68</v>
          </cell>
          <cell r="H2439">
            <v>18.27</v>
          </cell>
        </row>
        <row r="2440">
          <cell r="D2440">
            <v>15350.69</v>
          </cell>
          <cell r="H2440">
            <v>21.76</v>
          </cell>
        </row>
        <row r="2441">
          <cell r="D2441">
            <v>15350.7</v>
          </cell>
          <cell r="H2441">
            <v>27.22</v>
          </cell>
        </row>
        <row r="2442">
          <cell r="D2442">
            <v>15350.7</v>
          </cell>
          <cell r="H2442">
            <v>29.17</v>
          </cell>
        </row>
        <row r="2443">
          <cell r="D2443">
            <v>15350.88</v>
          </cell>
          <cell r="H2443">
            <v>42.18</v>
          </cell>
        </row>
        <row r="2444">
          <cell r="D2444">
            <v>15350.88</v>
          </cell>
          <cell r="H2444">
            <v>41.55</v>
          </cell>
        </row>
        <row r="2445">
          <cell r="D2445">
            <v>15358.39</v>
          </cell>
          <cell r="H2445">
            <v>17.75</v>
          </cell>
        </row>
        <row r="2446">
          <cell r="D2446">
            <v>15358.4</v>
          </cell>
          <cell r="H2446">
            <v>42.94</v>
          </cell>
        </row>
        <row r="2447">
          <cell r="D2447">
            <v>15358.4</v>
          </cell>
          <cell r="H2447">
            <v>43.55</v>
          </cell>
        </row>
        <row r="2448">
          <cell r="D2448">
            <v>15358.4</v>
          </cell>
          <cell r="H2448">
            <v>30.55</v>
          </cell>
        </row>
        <row r="2449">
          <cell r="D2449">
            <v>15358.42</v>
          </cell>
          <cell r="H2449">
            <v>23.31</v>
          </cell>
        </row>
        <row r="2450">
          <cell r="D2450">
            <v>15358.45</v>
          </cell>
          <cell r="H2450">
            <v>19.64</v>
          </cell>
        </row>
        <row r="2451">
          <cell r="D2451">
            <v>15358.49</v>
          </cell>
          <cell r="H2451">
            <v>25.08</v>
          </cell>
        </row>
        <row r="2452">
          <cell r="D2452">
            <v>15358.54</v>
          </cell>
          <cell r="H2452">
            <v>28.78</v>
          </cell>
        </row>
        <row r="2453">
          <cell r="D2453">
            <v>15408.39</v>
          </cell>
          <cell r="H2453">
            <v>13.11</v>
          </cell>
        </row>
        <row r="2454">
          <cell r="D2454">
            <v>15408.39</v>
          </cell>
          <cell r="H2454">
            <v>38.15</v>
          </cell>
        </row>
        <row r="2455">
          <cell r="D2455">
            <v>15408.4</v>
          </cell>
          <cell r="H2455">
            <v>38.42</v>
          </cell>
        </row>
        <row r="2456">
          <cell r="D2456">
            <v>15408.4</v>
          </cell>
          <cell r="H2456">
            <v>25.1</v>
          </cell>
        </row>
        <row r="2457">
          <cell r="D2457">
            <v>15408.42</v>
          </cell>
          <cell r="H2457">
            <v>18.510000000000002</v>
          </cell>
        </row>
        <row r="2458">
          <cell r="D2458">
            <v>15408.45</v>
          </cell>
          <cell r="H2458">
            <v>14.36</v>
          </cell>
        </row>
        <row r="2459">
          <cell r="D2459">
            <v>15408.49</v>
          </cell>
          <cell r="H2459">
            <v>19.7</v>
          </cell>
        </row>
        <row r="2460">
          <cell r="D2460">
            <v>15408.54</v>
          </cell>
          <cell r="H2460">
            <v>24.03</v>
          </cell>
        </row>
        <row r="2461">
          <cell r="D2461">
            <v>15458.39</v>
          </cell>
          <cell r="H2461">
            <v>13.24</v>
          </cell>
        </row>
        <row r="2462">
          <cell r="D2462">
            <v>15458.39</v>
          </cell>
          <cell r="H2462">
            <v>38.380000000000003</v>
          </cell>
        </row>
        <row r="2463">
          <cell r="D2463">
            <v>15458.4</v>
          </cell>
          <cell r="H2463">
            <v>38.56</v>
          </cell>
        </row>
        <row r="2464">
          <cell r="D2464">
            <v>15458.4</v>
          </cell>
          <cell r="H2464">
            <v>25.01</v>
          </cell>
        </row>
        <row r="2465">
          <cell r="D2465">
            <v>15458.42</v>
          </cell>
          <cell r="H2465">
            <v>18.559999999999999</v>
          </cell>
        </row>
        <row r="2466">
          <cell r="D2466">
            <v>15458.45</v>
          </cell>
          <cell r="H2466">
            <v>14.41</v>
          </cell>
        </row>
        <row r="2467">
          <cell r="D2467">
            <v>15458.49</v>
          </cell>
          <cell r="H2467">
            <v>19.649999999999999</v>
          </cell>
        </row>
        <row r="2468">
          <cell r="D2468">
            <v>15458.54</v>
          </cell>
          <cell r="H2468">
            <v>24.03</v>
          </cell>
        </row>
        <row r="2469">
          <cell r="D2469">
            <v>15508.39</v>
          </cell>
          <cell r="H2469">
            <v>8.2200000000000006</v>
          </cell>
        </row>
        <row r="2470">
          <cell r="D2470">
            <v>15508.39</v>
          </cell>
          <cell r="H2470">
            <v>34.299999999999997</v>
          </cell>
        </row>
        <row r="2471">
          <cell r="D2471">
            <v>15508.4</v>
          </cell>
          <cell r="H2471">
            <v>34.9</v>
          </cell>
        </row>
        <row r="2472">
          <cell r="D2472">
            <v>15508.4</v>
          </cell>
          <cell r="H2472">
            <v>21.44</v>
          </cell>
        </row>
        <row r="2473">
          <cell r="D2473">
            <v>15508.42</v>
          </cell>
          <cell r="H2473">
            <v>13.6</v>
          </cell>
        </row>
        <row r="2474">
          <cell r="D2474">
            <v>15508.45</v>
          </cell>
          <cell r="H2474">
            <v>10.93</v>
          </cell>
        </row>
        <row r="2475">
          <cell r="D2475">
            <v>15508.49</v>
          </cell>
          <cell r="H2475">
            <v>16.13</v>
          </cell>
        </row>
        <row r="2476">
          <cell r="D2476">
            <v>15508.54</v>
          </cell>
          <cell r="H2476">
            <v>19.07</v>
          </cell>
        </row>
        <row r="2477">
          <cell r="D2477">
            <v>15558.39</v>
          </cell>
          <cell r="H2477">
            <v>8.36</v>
          </cell>
        </row>
        <row r="2478">
          <cell r="D2478">
            <v>15558.39</v>
          </cell>
          <cell r="H2478">
            <v>32.869999999999997</v>
          </cell>
        </row>
        <row r="2479">
          <cell r="D2479">
            <v>15558.4</v>
          </cell>
          <cell r="H2479">
            <v>32.42</v>
          </cell>
        </row>
        <row r="2480">
          <cell r="D2480">
            <v>15558.4</v>
          </cell>
          <cell r="H2480">
            <v>18.329999999999998</v>
          </cell>
        </row>
        <row r="2481">
          <cell r="D2481">
            <v>15558.42</v>
          </cell>
          <cell r="H2481">
            <v>13.57</v>
          </cell>
        </row>
        <row r="2482">
          <cell r="D2482">
            <v>15558.45</v>
          </cell>
          <cell r="H2482">
            <v>7.8</v>
          </cell>
        </row>
        <row r="2483">
          <cell r="D2483">
            <v>15558.49</v>
          </cell>
          <cell r="H2483">
            <v>13.02</v>
          </cell>
        </row>
        <row r="2484">
          <cell r="D2484">
            <v>15558.54</v>
          </cell>
          <cell r="H2484">
            <v>19.059999999999999</v>
          </cell>
        </row>
        <row r="2485">
          <cell r="D2485">
            <v>15608.39</v>
          </cell>
          <cell r="H2485">
            <v>13.17</v>
          </cell>
        </row>
        <row r="2486">
          <cell r="D2486">
            <v>15608.39</v>
          </cell>
          <cell r="H2486">
            <v>37.64</v>
          </cell>
        </row>
        <row r="2487">
          <cell r="D2487">
            <v>15608.4</v>
          </cell>
          <cell r="H2487">
            <v>36.619999999999997</v>
          </cell>
        </row>
        <row r="2488">
          <cell r="D2488">
            <v>15608.4</v>
          </cell>
          <cell r="H2488">
            <v>21.78</v>
          </cell>
        </row>
        <row r="2489">
          <cell r="D2489">
            <v>15608.42</v>
          </cell>
          <cell r="H2489">
            <v>18.420000000000002</v>
          </cell>
        </row>
        <row r="2490">
          <cell r="D2490">
            <v>15608.45</v>
          </cell>
          <cell r="H2490">
            <v>11.2</v>
          </cell>
        </row>
        <row r="2491">
          <cell r="D2491">
            <v>15608.49</v>
          </cell>
          <cell r="H2491">
            <v>16.46</v>
          </cell>
        </row>
        <row r="2492">
          <cell r="D2492">
            <v>15608.54</v>
          </cell>
          <cell r="H2492">
            <v>23.89</v>
          </cell>
        </row>
        <row r="2493">
          <cell r="D2493">
            <v>15658.39</v>
          </cell>
          <cell r="H2493">
            <v>11.97</v>
          </cell>
        </row>
        <row r="2494">
          <cell r="D2494">
            <v>15658.39</v>
          </cell>
          <cell r="H2494">
            <v>37.68</v>
          </cell>
        </row>
        <row r="2495">
          <cell r="D2495">
            <v>15658.4</v>
          </cell>
          <cell r="H2495">
            <v>37.82</v>
          </cell>
        </row>
        <row r="2496">
          <cell r="D2496">
            <v>15658.4</v>
          </cell>
          <cell r="H2496">
            <v>24.24</v>
          </cell>
        </row>
        <row r="2497">
          <cell r="D2497">
            <v>15658.42</v>
          </cell>
          <cell r="H2497">
            <v>17.37</v>
          </cell>
        </row>
        <row r="2498">
          <cell r="D2498">
            <v>15658.45</v>
          </cell>
          <cell r="H2498">
            <v>13.66</v>
          </cell>
        </row>
        <row r="2499">
          <cell r="D2499">
            <v>15658.49</v>
          </cell>
          <cell r="H2499">
            <v>18.89</v>
          </cell>
        </row>
        <row r="2500">
          <cell r="D2500">
            <v>15658.54</v>
          </cell>
          <cell r="H2500">
            <v>22.86</v>
          </cell>
        </row>
        <row r="2501">
          <cell r="D2501">
            <v>15708.39</v>
          </cell>
          <cell r="H2501">
            <v>15.52</v>
          </cell>
        </row>
        <row r="2502">
          <cell r="D2502">
            <v>15708.39</v>
          </cell>
          <cell r="H2502">
            <v>39.880000000000003</v>
          </cell>
        </row>
        <row r="2503">
          <cell r="D2503">
            <v>15708.4</v>
          </cell>
          <cell r="H2503">
            <v>39.72</v>
          </cell>
        </row>
        <row r="2504">
          <cell r="D2504">
            <v>15708.4</v>
          </cell>
          <cell r="H2504">
            <v>25.84</v>
          </cell>
        </row>
        <row r="2505">
          <cell r="D2505">
            <v>15708.42</v>
          </cell>
          <cell r="H2505">
            <v>20.86</v>
          </cell>
        </row>
        <row r="2506">
          <cell r="D2506">
            <v>15708.45</v>
          </cell>
          <cell r="H2506">
            <v>15.06</v>
          </cell>
        </row>
        <row r="2507">
          <cell r="D2507">
            <v>15708.49</v>
          </cell>
          <cell r="H2507">
            <v>20.440000000000001</v>
          </cell>
        </row>
        <row r="2508">
          <cell r="D2508">
            <v>15708.54</v>
          </cell>
          <cell r="H2508">
            <v>26.32</v>
          </cell>
        </row>
        <row r="2509">
          <cell r="D2509">
            <v>15758.39</v>
          </cell>
          <cell r="H2509">
            <v>16.329999999999998</v>
          </cell>
        </row>
        <row r="2510">
          <cell r="D2510">
            <v>15758.39</v>
          </cell>
          <cell r="H2510">
            <v>40.64</v>
          </cell>
        </row>
        <row r="2511">
          <cell r="D2511">
            <v>15758.4</v>
          </cell>
          <cell r="H2511">
            <v>40.47</v>
          </cell>
        </row>
        <row r="2512">
          <cell r="D2512">
            <v>15758.4</v>
          </cell>
          <cell r="H2512">
            <v>26.69</v>
          </cell>
        </row>
        <row r="2513">
          <cell r="D2513">
            <v>15758.42</v>
          </cell>
          <cell r="H2513">
            <v>21.77</v>
          </cell>
        </row>
        <row r="2514">
          <cell r="D2514">
            <v>15758.45</v>
          </cell>
          <cell r="H2514">
            <v>15.73</v>
          </cell>
        </row>
        <row r="2515">
          <cell r="D2515">
            <v>15758.49</v>
          </cell>
          <cell r="H2515">
            <v>21.21</v>
          </cell>
        </row>
        <row r="2516">
          <cell r="D2516">
            <v>15758.54</v>
          </cell>
          <cell r="H2516">
            <v>27.25</v>
          </cell>
        </row>
        <row r="2517">
          <cell r="D2517">
            <v>15764.89</v>
          </cell>
          <cell r="H2517">
            <v>16.09</v>
          </cell>
        </row>
        <row r="2518">
          <cell r="D2518">
            <v>15764.9</v>
          </cell>
          <cell r="H2518">
            <v>27.08</v>
          </cell>
        </row>
        <row r="2519">
          <cell r="D2519">
            <v>15764.95</v>
          </cell>
          <cell r="H2519">
            <v>16.54</v>
          </cell>
        </row>
        <row r="2520">
          <cell r="D2520">
            <v>15764.99</v>
          </cell>
          <cell r="H2520">
            <v>22.08</v>
          </cell>
        </row>
        <row r="2521">
          <cell r="D2521">
            <v>15764.99</v>
          </cell>
          <cell r="H2521">
            <v>40.89</v>
          </cell>
        </row>
        <row r="2522">
          <cell r="D2522">
            <v>15764.99</v>
          </cell>
          <cell r="H2522">
            <v>40.76</v>
          </cell>
        </row>
        <row r="2523">
          <cell r="D2523">
            <v>15765.01</v>
          </cell>
          <cell r="H2523">
            <v>27.56</v>
          </cell>
        </row>
        <row r="2524">
          <cell r="D2524">
            <v>15765.02</v>
          </cell>
          <cell r="H2524">
            <v>21.6</v>
          </cell>
        </row>
        <row r="2525">
          <cell r="D2525">
            <v>15814.88</v>
          </cell>
          <cell r="H2525">
            <v>12.15</v>
          </cell>
        </row>
        <row r="2526">
          <cell r="D2526">
            <v>15814.9</v>
          </cell>
          <cell r="H2526">
            <v>22.97</v>
          </cell>
        </row>
        <row r="2527">
          <cell r="D2527">
            <v>15814.95</v>
          </cell>
          <cell r="H2527">
            <v>12.58</v>
          </cell>
        </row>
        <row r="2528">
          <cell r="D2528">
            <v>15814.99</v>
          </cell>
          <cell r="H2528">
            <v>36.81</v>
          </cell>
        </row>
        <row r="2529">
          <cell r="D2529">
            <v>15814.99</v>
          </cell>
          <cell r="H2529">
            <v>37.11</v>
          </cell>
        </row>
        <row r="2530">
          <cell r="D2530">
            <v>15814.99</v>
          </cell>
          <cell r="H2530">
            <v>17.96</v>
          </cell>
        </row>
        <row r="2531">
          <cell r="D2531">
            <v>15815.01</v>
          </cell>
          <cell r="H2531">
            <v>23.44</v>
          </cell>
        </row>
        <row r="2532">
          <cell r="D2532">
            <v>15815.02</v>
          </cell>
          <cell r="H2532">
            <v>17.59</v>
          </cell>
        </row>
        <row r="2533">
          <cell r="D2533">
            <v>15864.88</v>
          </cell>
          <cell r="H2533">
            <v>10.07</v>
          </cell>
        </row>
        <row r="2534">
          <cell r="D2534">
            <v>15864.9</v>
          </cell>
          <cell r="H2534">
            <v>20.79</v>
          </cell>
        </row>
        <row r="2535">
          <cell r="D2535">
            <v>15864.95</v>
          </cell>
          <cell r="H2535">
            <v>10.29</v>
          </cell>
        </row>
        <row r="2536">
          <cell r="D2536">
            <v>15864.99</v>
          </cell>
          <cell r="H2536">
            <v>34.79</v>
          </cell>
        </row>
        <row r="2537">
          <cell r="D2537">
            <v>15864.99</v>
          </cell>
          <cell r="H2537">
            <v>35.090000000000003</v>
          </cell>
        </row>
        <row r="2538">
          <cell r="D2538">
            <v>15864.99</v>
          </cell>
          <cell r="H2538">
            <v>15.65</v>
          </cell>
        </row>
        <row r="2539">
          <cell r="D2539">
            <v>15865.01</v>
          </cell>
          <cell r="H2539">
            <v>21.13</v>
          </cell>
        </row>
        <row r="2540">
          <cell r="D2540">
            <v>15865.02</v>
          </cell>
          <cell r="H2540">
            <v>15.48</v>
          </cell>
        </row>
        <row r="2541">
          <cell r="D2541">
            <v>15914.88</v>
          </cell>
          <cell r="H2541">
            <v>8.24</v>
          </cell>
        </row>
        <row r="2542">
          <cell r="D2542">
            <v>15914.9</v>
          </cell>
          <cell r="H2542">
            <v>18.87</v>
          </cell>
        </row>
        <row r="2543">
          <cell r="D2543">
            <v>15914.95</v>
          </cell>
          <cell r="H2543">
            <v>7.73</v>
          </cell>
        </row>
        <row r="2544">
          <cell r="D2544">
            <v>15914.99</v>
          </cell>
          <cell r="H2544">
            <v>32.83</v>
          </cell>
        </row>
        <row r="2545">
          <cell r="D2545">
            <v>15914.99</v>
          </cell>
          <cell r="H2545">
            <v>32.880000000000003</v>
          </cell>
        </row>
        <row r="2546">
          <cell r="D2546">
            <v>15914.99</v>
          </cell>
          <cell r="H2546">
            <v>13.06</v>
          </cell>
        </row>
        <row r="2547">
          <cell r="D2547">
            <v>15915.01</v>
          </cell>
          <cell r="H2547">
            <v>18.55</v>
          </cell>
        </row>
        <row r="2548">
          <cell r="D2548">
            <v>15915.02</v>
          </cell>
          <cell r="H2548">
            <v>13.59</v>
          </cell>
        </row>
        <row r="2549">
          <cell r="D2549">
            <v>15964.88</v>
          </cell>
          <cell r="H2549">
            <v>6.1</v>
          </cell>
        </row>
        <row r="2550">
          <cell r="D2550">
            <v>15964.9</v>
          </cell>
          <cell r="H2550">
            <v>16.79</v>
          </cell>
        </row>
        <row r="2551">
          <cell r="D2551">
            <v>15964.95</v>
          </cell>
          <cell r="H2551">
            <v>6.5</v>
          </cell>
        </row>
        <row r="2552">
          <cell r="D2552">
            <v>15964.99</v>
          </cell>
          <cell r="H2552">
            <v>30.98</v>
          </cell>
        </row>
        <row r="2553">
          <cell r="D2553">
            <v>15964.99</v>
          </cell>
          <cell r="H2553">
            <v>31.36</v>
          </cell>
        </row>
        <row r="2554">
          <cell r="D2554">
            <v>15964.99</v>
          </cell>
          <cell r="H2554">
            <v>11.84</v>
          </cell>
        </row>
        <row r="2555">
          <cell r="D2555">
            <v>15965.01</v>
          </cell>
          <cell r="H2555">
            <v>17.32</v>
          </cell>
        </row>
        <row r="2556">
          <cell r="D2556">
            <v>15965.02</v>
          </cell>
          <cell r="H2556">
            <v>11.5</v>
          </cell>
        </row>
        <row r="2557">
          <cell r="D2557">
            <v>16014.88</v>
          </cell>
          <cell r="H2557">
            <v>5.77</v>
          </cell>
        </row>
        <row r="2558">
          <cell r="D2558">
            <v>16014.9</v>
          </cell>
          <cell r="H2558">
            <v>16.5</v>
          </cell>
        </row>
        <row r="2559">
          <cell r="D2559">
            <v>16014.95</v>
          </cell>
          <cell r="H2559">
            <v>5.91</v>
          </cell>
        </row>
        <row r="2560">
          <cell r="D2560">
            <v>16014.99</v>
          </cell>
          <cell r="H2560">
            <v>30.43</v>
          </cell>
        </row>
        <row r="2561">
          <cell r="D2561">
            <v>16014.99</v>
          </cell>
          <cell r="H2561">
            <v>30.75</v>
          </cell>
        </row>
        <row r="2562">
          <cell r="D2562">
            <v>16014.99</v>
          </cell>
          <cell r="H2562">
            <v>11.28</v>
          </cell>
        </row>
        <row r="2563">
          <cell r="D2563">
            <v>16015.01</v>
          </cell>
          <cell r="H2563">
            <v>16.760000000000002</v>
          </cell>
        </row>
        <row r="2564">
          <cell r="D2564">
            <v>16015.02</v>
          </cell>
          <cell r="H2564">
            <v>11.18</v>
          </cell>
        </row>
        <row r="2565">
          <cell r="D2565">
            <v>16064.88</v>
          </cell>
          <cell r="H2565">
            <v>8.67</v>
          </cell>
        </row>
        <row r="2566">
          <cell r="D2566">
            <v>16064.9</v>
          </cell>
          <cell r="H2566">
            <v>19.489999999999998</v>
          </cell>
        </row>
        <row r="2567">
          <cell r="D2567">
            <v>16064.95</v>
          </cell>
          <cell r="H2567">
            <v>8.6</v>
          </cell>
        </row>
        <row r="2568">
          <cell r="D2568">
            <v>16064.99</v>
          </cell>
          <cell r="H2568">
            <v>33.119999999999997</v>
          </cell>
        </row>
        <row r="2569">
          <cell r="D2569">
            <v>16064.99</v>
          </cell>
          <cell r="H2569">
            <v>33.33</v>
          </cell>
        </row>
        <row r="2570">
          <cell r="D2570">
            <v>16064.99</v>
          </cell>
          <cell r="H2570">
            <v>14.01</v>
          </cell>
        </row>
        <row r="2571">
          <cell r="D2571">
            <v>16065.01</v>
          </cell>
          <cell r="H2571">
            <v>19.489999999999998</v>
          </cell>
        </row>
        <row r="2572">
          <cell r="D2572">
            <v>16065.02</v>
          </cell>
          <cell r="H2572">
            <v>14.1</v>
          </cell>
        </row>
        <row r="2573">
          <cell r="D2573">
            <v>16106.81</v>
          </cell>
          <cell r="H2573">
            <v>11.8</v>
          </cell>
        </row>
        <row r="2574">
          <cell r="D2574">
            <v>16106.98</v>
          </cell>
          <cell r="H2574">
            <v>22.75</v>
          </cell>
        </row>
        <row r="2575">
          <cell r="D2575">
            <v>16107.03</v>
          </cell>
          <cell r="H2575">
            <v>17.27</v>
          </cell>
        </row>
        <row r="2576">
          <cell r="D2576">
            <v>16107.03</v>
          </cell>
          <cell r="H2576">
            <v>11.9</v>
          </cell>
        </row>
        <row r="2577">
          <cell r="D2577">
            <v>16107.09</v>
          </cell>
          <cell r="H2577">
            <v>17.37</v>
          </cell>
        </row>
        <row r="2578">
          <cell r="D2578">
            <v>16107.09</v>
          </cell>
          <cell r="H2578">
            <v>36.340000000000003</v>
          </cell>
        </row>
        <row r="2579">
          <cell r="D2579">
            <v>16107.09</v>
          </cell>
          <cell r="H2579">
            <v>36.42</v>
          </cell>
        </row>
        <row r="2580">
          <cell r="D2580">
            <v>16107.1</v>
          </cell>
          <cell r="H2580">
            <v>22.85</v>
          </cell>
        </row>
        <row r="2581">
          <cell r="D2581">
            <v>16156.81</v>
          </cell>
          <cell r="H2581">
            <v>7.82</v>
          </cell>
        </row>
        <row r="2582">
          <cell r="D2582">
            <v>16156.98</v>
          </cell>
          <cell r="H2582">
            <v>18.71</v>
          </cell>
        </row>
        <row r="2583">
          <cell r="D2583">
            <v>16157.03</v>
          </cell>
          <cell r="H2583">
            <v>13.37</v>
          </cell>
        </row>
        <row r="2584">
          <cell r="D2584">
            <v>16157.03</v>
          </cell>
          <cell r="H2584">
            <v>8.01</v>
          </cell>
        </row>
        <row r="2585">
          <cell r="D2585">
            <v>16157.09</v>
          </cell>
          <cell r="H2585">
            <v>13.44</v>
          </cell>
        </row>
        <row r="2586">
          <cell r="D2586">
            <v>16157.09</v>
          </cell>
          <cell r="H2586">
            <v>32.46</v>
          </cell>
        </row>
        <row r="2587">
          <cell r="D2587">
            <v>16157.09</v>
          </cell>
          <cell r="H2587">
            <v>32.53</v>
          </cell>
        </row>
        <row r="2588">
          <cell r="D2588">
            <v>16157.1</v>
          </cell>
          <cell r="H2588">
            <v>18.93</v>
          </cell>
        </row>
        <row r="2589">
          <cell r="D2589">
            <v>16206.81</v>
          </cell>
          <cell r="H2589">
            <v>9</v>
          </cell>
        </row>
        <row r="2590">
          <cell r="D2590">
            <v>16206.98</v>
          </cell>
          <cell r="H2590">
            <v>19.899999999999999</v>
          </cell>
        </row>
        <row r="2591">
          <cell r="D2591">
            <v>16207.03</v>
          </cell>
          <cell r="H2591">
            <v>14.64</v>
          </cell>
        </row>
        <row r="2592">
          <cell r="D2592">
            <v>16207.03</v>
          </cell>
          <cell r="H2592">
            <v>10.59</v>
          </cell>
        </row>
        <row r="2593">
          <cell r="D2593">
            <v>16207.09</v>
          </cell>
          <cell r="H2593">
            <v>15.92</v>
          </cell>
        </row>
        <row r="2594">
          <cell r="D2594">
            <v>16207.09</v>
          </cell>
          <cell r="H2594">
            <v>34.24</v>
          </cell>
        </row>
        <row r="2595">
          <cell r="D2595">
            <v>16207.09</v>
          </cell>
          <cell r="H2595">
            <v>34.78</v>
          </cell>
        </row>
        <row r="2596">
          <cell r="D2596">
            <v>16207.1</v>
          </cell>
          <cell r="H2596">
            <v>21.41</v>
          </cell>
        </row>
        <row r="2597">
          <cell r="D2597">
            <v>16256.81</v>
          </cell>
          <cell r="H2597">
            <v>13.19</v>
          </cell>
        </row>
        <row r="2598">
          <cell r="D2598">
            <v>16256.98</v>
          </cell>
          <cell r="H2598">
            <v>24.01</v>
          </cell>
        </row>
        <row r="2599">
          <cell r="D2599">
            <v>16257.03</v>
          </cell>
          <cell r="H2599">
            <v>18.8</v>
          </cell>
        </row>
        <row r="2600">
          <cell r="D2600">
            <v>16257.03</v>
          </cell>
          <cell r="H2600">
            <v>13.86</v>
          </cell>
        </row>
        <row r="2601">
          <cell r="D2601">
            <v>16257.09</v>
          </cell>
          <cell r="H2601">
            <v>19.190000000000001</v>
          </cell>
        </row>
        <row r="2602">
          <cell r="D2602">
            <v>16257.09</v>
          </cell>
          <cell r="H2602">
            <v>38.18</v>
          </cell>
        </row>
        <row r="2603">
          <cell r="D2603">
            <v>16257.09</v>
          </cell>
          <cell r="H2603">
            <v>38.25</v>
          </cell>
        </row>
        <row r="2604">
          <cell r="D2604">
            <v>16257.1</v>
          </cell>
          <cell r="H2604">
            <v>24.69</v>
          </cell>
        </row>
        <row r="2605">
          <cell r="D2605">
            <v>16306.81</v>
          </cell>
          <cell r="H2605">
            <v>12.95</v>
          </cell>
        </row>
        <row r="2606">
          <cell r="D2606">
            <v>16306.98</v>
          </cell>
          <cell r="H2606">
            <v>23.74</v>
          </cell>
        </row>
        <row r="2607">
          <cell r="D2607">
            <v>16307.03</v>
          </cell>
          <cell r="H2607">
            <v>18.54</v>
          </cell>
        </row>
        <row r="2608">
          <cell r="D2608">
            <v>16307.03</v>
          </cell>
          <cell r="H2608">
            <v>13.07</v>
          </cell>
        </row>
        <row r="2609">
          <cell r="D2609">
            <v>16307.09</v>
          </cell>
          <cell r="H2609">
            <v>18.41</v>
          </cell>
        </row>
        <row r="2610">
          <cell r="D2610">
            <v>16307.09</v>
          </cell>
          <cell r="H2610">
            <v>37.61</v>
          </cell>
        </row>
        <row r="2611">
          <cell r="D2611">
            <v>16307.09</v>
          </cell>
          <cell r="H2611">
            <v>37.81</v>
          </cell>
        </row>
        <row r="2612">
          <cell r="D2612">
            <v>16307.1</v>
          </cell>
          <cell r="H2612">
            <v>23.91</v>
          </cell>
        </row>
        <row r="2613">
          <cell r="D2613">
            <v>16356.81</v>
          </cell>
          <cell r="H2613">
            <v>14.52</v>
          </cell>
        </row>
        <row r="2614">
          <cell r="D2614">
            <v>16356.98</v>
          </cell>
          <cell r="H2614">
            <v>25.35</v>
          </cell>
        </row>
        <row r="2615">
          <cell r="D2615">
            <v>16357.03</v>
          </cell>
          <cell r="H2615">
            <v>20.11</v>
          </cell>
        </row>
        <row r="2616">
          <cell r="D2616">
            <v>16357.03</v>
          </cell>
          <cell r="H2616">
            <v>14.79</v>
          </cell>
        </row>
        <row r="2617">
          <cell r="D2617">
            <v>16357.09</v>
          </cell>
          <cell r="H2617">
            <v>20.18</v>
          </cell>
        </row>
        <row r="2618">
          <cell r="D2618">
            <v>16357.09</v>
          </cell>
          <cell r="H2618">
            <v>39.19</v>
          </cell>
        </row>
        <row r="2619">
          <cell r="D2619">
            <v>16357.09</v>
          </cell>
          <cell r="H2619">
            <v>39.46</v>
          </cell>
        </row>
        <row r="2620">
          <cell r="D2620">
            <v>16357.1</v>
          </cell>
          <cell r="H2620">
            <v>25.67</v>
          </cell>
        </row>
        <row r="2621">
          <cell r="D2621">
            <v>16406.810000000001</v>
          </cell>
          <cell r="H2621">
            <v>16.93</v>
          </cell>
        </row>
        <row r="2622">
          <cell r="D2622">
            <v>16406.98</v>
          </cell>
          <cell r="H2622">
            <v>27.78</v>
          </cell>
        </row>
        <row r="2623">
          <cell r="D2623">
            <v>16407.03</v>
          </cell>
          <cell r="H2623">
            <v>22.45</v>
          </cell>
        </row>
        <row r="2624">
          <cell r="D2624">
            <v>16407.03</v>
          </cell>
          <cell r="H2624">
            <v>16.760000000000002</v>
          </cell>
        </row>
        <row r="2625">
          <cell r="D2625">
            <v>16407.09</v>
          </cell>
          <cell r="H2625">
            <v>22.18</v>
          </cell>
        </row>
        <row r="2626">
          <cell r="D2626">
            <v>16407.09</v>
          </cell>
          <cell r="H2626">
            <v>41.49</v>
          </cell>
        </row>
        <row r="2627">
          <cell r="D2627">
            <v>16407.09</v>
          </cell>
          <cell r="H2627">
            <v>41.42</v>
          </cell>
        </row>
        <row r="2628">
          <cell r="D2628">
            <v>16407.099999999999</v>
          </cell>
          <cell r="H2628">
            <v>27.67</v>
          </cell>
        </row>
        <row r="2629">
          <cell r="D2629">
            <v>16456.810000000001</v>
          </cell>
          <cell r="H2629">
            <v>15.67</v>
          </cell>
        </row>
        <row r="2630">
          <cell r="D2630">
            <v>16456.98</v>
          </cell>
          <cell r="H2630">
            <v>26.63</v>
          </cell>
        </row>
        <row r="2631">
          <cell r="D2631">
            <v>16457.03</v>
          </cell>
          <cell r="H2631">
            <v>21.19</v>
          </cell>
        </row>
        <row r="2632">
          <cell r="D2632">
            <v>16457.03</v>
          </cell>
          <cell r="H2632">
            <v>16.22</v>
          </cell>
        </row>
        <row r="2633">
          <cell r="D2633">
            <v>16457.09</v>
          </cell>
          <cell r="H2633">
            <v>21.64</v>
          </cell>
        </row>
        <row r="2634">
          <cell r="D2634">
            <v>16457.09</v>
          </cell>
          <cell r="H2634">
            <v>40.28</v>
          </cell>
        </row>
        <row r="2635">
          <cell r="D2635">
            <v>16457.09</v>
          </cell>
          <cell r="H2635">
            <v>40.450000000000003</v>
          </cell>
        </row>
        <row r="2636">
          <cell r="D2636">
            <v>16457.099999999999</v>
          </cell>
          <cell r="H2636">
            <v>27.11</v>
          </cell>
        </row>
        <row r="2637">
          <cell r="D2637">
            <v>16470.080000000002</v>
          </cell>
          <cell r="H2637">
            <v>17.010000000000002</v>
          </cell>
        </row>
        <row r="2638">
          <cell r="D2638">
            <v>16470.169999999998</v>
          </cell>
          <cell r="H2638">
            <v>41.23</v>
          </cell>
        </row>
        <row r="2639">
          <cell r="D2639">
            <v>16470.169999999998</v>
          </cell>
          <cell r="H2639">
            <v>41.32</v>
          </cell>
        </row>
        <row r="2640">
          <cell r="D2640">
            <v>16470.189999999999</v>
          </cell>
          <cell r="H2640">
            <v>22.48</v>
          </cell>
        </row>
        <row r="2641">
          <cell r="D2641">
            <v>16470.22</v>
          </cell>
          <cell r="H2641">
            <v>22.1</v>
          </cell>
        </row>
        <row r="2642">
          <cell r="D2642">
            <v>16470.259999999998</v>
          </cell>
          <cell r="H2642">
            <v>27.97</v>
          </cell>
        </row>
        <row r="2643">
          <cell r="D2643">
            <v>16470.509999999998</v>
          </cell>
          <cell r="H2643">
            <v>16.61</v>
          </cell>
        </row>
        <row r="2644">
          <cell r="D2644">
            <v>16470.509999999998</v>
          </cell>
          <cell r="H2644">
            <v>27.62</v>
          </cell>
        </row>
        <row r="2645">
          <cell r="D2645">
            <v>16520.080000000002</v>
          </cell>
          <cell r="H2645">
            <v>14.49</v>
          </cell>
        </row>
        <row r="2646">
          <cell r="D2646">
            <v>16520.169999999998</v>
          </cell>
          <cell r="H2646">
            <v>38.729999999999997</v>
          </cell>
        </row>
        <row r="2647">
          <cell r="D2647">
            <v>16520.169999999998</v>
          </cell>
          <cell r="H2647">
            <v>38.44</v>
          </cell>
        </row>
        <row r="2648">
          <cell r="D2648">
            <v>16520.189999999999</v>
          </cell>
          <cell r="H2648">
            <v>19.899999999999999</v>
          </cell>
        </row>
        <row r="2649">
          <cell r="D2649">
            <v>16520.22</v>
          </cell>
          <cell r="H2649">
            <v>19.43</v>
          </cell>
        </row>
        <row r="2650">
          <cell r="D2650">
            <v>16520.259999999998</v>
          </cell>
          <cell r="H2650">
            <v>25.43</v>
          </cell>
        </row>
        <row r="2651">
          <cell r="D2651">
            <v>16520.509999999998</v>
          </cell>
          <cell r="H2651">
            <v>14.05</v>
          </cell>
        </row>
        <row r="2652">
          <cell r="D2652">
            <v>16520.509999999998</v>
          </cell>
          <cell r="H2652">
            <v>24.89</v>
          </cell>
        </row>
        <row r="2653">
          <cell r="D2653">
            <v>16570.080000000002</v>
          </cell>
          <cell r="H2653">
            <v>14.55</v>
          </cell>
        </row>
        <row r="2654">
          <cell r="D2654">
            <v>16570.169999999998</v>
          </cell>
          <cell r="H2654">
            <v>38.96</v>
          </cell>
        </row>
        <row r="2655">
          <cell r="D2655">
            <v>16570.169999999998</v>
          </cell>
          <cell r="H2655">
            <v>38.67</v>
          </cell>
        </row>
        <row r="2656">
          <cell r="D2656">
            <v>16570.189999999999</v>
          </cell>
          <cell r="H2656">
            <v>19.96</v>
          </cell>
        </row>
        <row r="2657">
          <cell r="D2657">
            <v>16570.22</v>
          </cell>
          <cell r="H2657">
            <v>19.54</v>
          </cell>
        </row>
        <row r="2658">
          <cell r="D2658">
            <v>16570.259999999998</v>
          </cell>
          <cell r="H2658">
            <v>25.53</v>
          </cell>
        </row>
        <row r="2659">
          <cell r="D2659">
            <v>16570.509999999998</v>
          </cell>
          <cell r="H2659">
            <v>14.21</v>
          </cell>
        </row>
        <row r="2660">
          <cell r="D2660">
            <v>16570.509999999998</v>
          </cell>
          <cell r="H2660">
            <v>24.99</v>
          </cell>
        </row>
        <row r="2661">
          <cell r="D2661">
            <v>16620.080000000002</v>
          </cell>
          <cell r="H2661">
            <v>17.64</v>
          </cell>
        </row>
        <row r="2662">
          <cell r="D2662">
            <v>16620.169999999998</v>
          </cell>
          <cell r="H2662">
            <v>42.01</v>
          </cell>
        </row>
        <row r="2663">
          <cell r="D2663">
            <v>16620.169999999998</v>
          </cell>
          <cell r="H2663">
            <v>41.63</v>
          </cell>
        </row>
        <row r="2664">
          <cell r="D2664">
            <v>16620.189999999999</v>
          </cell>
          <cell r="H2664">
            <v>23.01</v>
          </cell>
        </row>
        <row r="2665">
          <cell r="D2665">
            <v>16620.22</v>
          </cell>
          <cell r="H2665">
            <v>22.18</v>
          </cell>
        </row>
        <row r="2666">
          <cell r="D2666">
            <v>16620.259999999998</v>
          </cell>
          <cell r="H2666">
            <v>28.58</v>
          </cell>
        </row>
        <row r="2667">
          <cell r="D2667">
            <v>16620.509999999998</v>
          </cell>
          <cell r="H2667">
            <v>16.91</v>
          </cell>
        </row>
        <row r="2668">
          <cell r="D2668">
            <v>16620.509999999998</v>
          </cell>
          <cell r="H2668">
            <v>27.62</v>
          </cell>
        </row>
        <row r="2669">
          <cell r="D2669">
            <v>16670.080000000002</v>
          </cell>
          <cell r="H2669">
            <v>20.89</v>
          </cell>
        </row>
        <row r="2670">
          <cell r="D2670">
            <v>16670.169999999998</v>
          </cell>
          <cell r="H2670">
            <v>45.43</v>
          </cell>
        </row>
        <row r="2671">
          <cell r="D2671">
            <v>16670.169999999998</v>
          </cell>
          <cell r="H2671">
            <v>45.05</v>
          </cell>
        </row>
        <row r="2672">
          <cell r="D2672">
            <v>16670.189999999999</v>
          </cell>
          <cell r="H2672">
            <v>26.26</v>
          </cell>
        </row>
        <row r="2673">
          <cell r="D2673">
            <v>16670.22</v>
          </cell>
          <cell r="H2673">
            <v>25.73</v>
          </cell>
        </row>
        <row r="2674">
          <cell r="D2674">
            <v>16670.259999999998</v>
          </cell>
          <cell r="H2674">
            <v>31.86</v>
          </cell>
        </row>
        <row r="2675">
          <cell r="D2675">
            <v>16670.509999999998</v>
          </cell>
          <cell r="H2675">
            <v>20.46</v>
          </cell>
        </row>
        <row r="2676">
          <cell r="D2676">
            <v>16670.509999999998</v>
          </cell>
          <cell r="H2676">
            <v>31.14</v>
          </cell>
        </row>
        <row r="2677">
          <cell r="D2677">
            <v>16720.080000000002</v>
          </cell>
          <cell r="H2677">
            <v>24.7</v>
          </cell>
        </row>
        <row r="2678">
          <cell r="D2678">
            <v>16720.169999999998</v>
          </cell>
          <cell r="H2678">
            <v>49.39</v>
          </cell>
        </row>
        <row r="2679">
          <cell r="D2679">
            <v>16720.169999999998</v>
          </cell>
          <cell r="H2679">
            <v>49.23</v>
          </cell>
        </row>
        <row r="2680">
          <cell r="D2680">
            <v>16720.189999999999</v>
          </cell>
          <cell r="H2680">
            <v>30.1</v>
          </cell>
        </row>
        <row r="2681">
          <cell r="D2681">
            <v>16720.22</v>
          </cell>
          <cell r="H2681">
            <v>29.85</v>
          </cell>
        </row>
        <row r="2682">
          <cell r="D2682">
            <v>16720.259999999998</v>
          </cell>
          <cell r="H2682">
            <v>35.69</v>
          </cell>
        </row>
        <row r="2683">
          <cell r="D2683">
            <v>16720.509999999998</v>
          </cell>
          <cell r="H2683">
            <v>24.58</v>
          </cell>
        </row>
        <row r="2684">
          <cell r="D2684">
            <v>16720.509999999998</v>
          </cell>
          <cell r="H2684">
            <v>35.229999999999997</v>
          </cell>
        </row>
        <row r="2685">
          <cell r="D2685">
            <v>16770.080000000002</v>
          </cell>
          <cell r="H2685">
            <v>24.83</v>
          </cell>
        </row>
        <row r="2686">
          <cell r="D2686">
            <v>16770.169999999998</v>
          </cell>
          <cell r="H2686">
            <v>49.52</v>
          </cell>
        </row>
        <row r="2687">
          <cell r="D2687">
            <v>16770.169999999998</v>
          </cell>
          <cell r="H2687">
            <v>49.5</v>
          </cell>
        </row>
        <row r="2688">
          <cell r="D2688">
            <v>16770.189999999999</v>
          </cell>
          <cell r="H2688">
            <v>30.22</v>
          </cell>
        </row>
        <row r="2689">
          <cell r="D2689">
            <v>16770.22</v>
          </cell>
          <cell r="H2689">
            <v>30.36</v>
          </cell>
        </row>
        <row r="2690">
          <cell r="D2690">
            <v>16770.259999999998</v>
          </cell>
          <cell r="H2690">
            <v>35.799999999999997</v>
          </cell>
        </row>
        <row r="2691">
          <cell r="D2691">
            <v>16770.509999999998</v>
          </cell>
          <cell r="H2691">
            <v>25.07</v>
          </cell>
        </row>
        <row r="2692">
          <cell r="D2692">
            <v>16770.509999999998</v>
          </cell>
          <cell r="H2692">
            <v>35.75</v>
          </cell>
        </row>
        <row r="2693">
          <cell r="D2693">
            <v>16820.080000000002</v>
          </cell>
          <cell r="H2693">
            <v>19.079999999999998</v>
          </cell>
        </row>
        <row r="2694">
          <cell r="D2694">
            <v>16820.169999999998</v>
          </cell>
          <cell r="H2694">
            <v>44.39</v>
          </cell>
        </row>
        <row r="2695">
          <cell r="D2695">
            <v>16820.169999999998</v>
          </cell>
          <cell r="H2695">
            <v>44.8</v>
          </cell>
        </row>
        <row r="2696">
          <cell r="D2696">
            <v>16820.189999999999</v>
          </cell>
          <cell r="H2696">
            <v>24.52</v>
          </cell>
        </row>
        <row r="2697">
          <cell r="D2697">
            <v>16820.22</v>
          </cell>
          <cell r="H2697">
            <v>26.32</v>
          </cell>
        </row>
        <row r="2698">
          <cell r="D2698">
            <v>16820.259999999998</v>
          </cell>
          <cell r="H2698">
            <v>30.07</v>
          </cell>
        </row>
        <row r="2699">
          <cell r="D2699">
            <v>16820.509999999998</v>
          </cell>
          <cell r="H2699">
            <v>21.05</v>
          </cell>
        </row>
        <row r="2700">
          <cell r="D2700">
            <v>16820.509999999998</v>
          </cell>
          <cell r="H2700">
            <v>31.67</v>
          </cell>
        </row>
        <row r="2701">
          <cell r="D2701">
            <v>16870.080000000002</v>
          </cell>
          <cell r="H2701">
            <v>13.09</v>
          </cell>
        </row>
        <row r="2702">
          <cell r="D2702">
            <v>16870.169999999998</v>
          </cell>
          <cell r="H2702">
            <v>38.380000000000003</v>
          </cell>
        </row>
        <row r="2703">
          <cell r="D2703">
            <v>16870.169999999998</v>
          </cell>
          <cell r="H2703">
            <v>38.770000000000003</v>
          </cell>
        </row>
        <row r="2704">
          <cell r="D2704">
            <v>16870.189999999999</v>
          </cell>
          <cell r="H2704">
            <v>18.57</v>
          </cell>
        </row>
        <row r="2705">
          <cell r="D2705">
            <v>16870.22</v>
          </cell>
          <cell r="H2705">
            <v>19.899999999999999</v>
          </cell>
        </row>
        <row r="2706">
          <cell r="D2706">
            <v>16870.259999999998</v>
          </cell>
          <cell r="H2706">
            <v>24.1</v>
          </cell>
        </row>
        <row r="2707">
          <cell r="D2707">
            <v>16870.509999999998</v>
          </cell>
          <cell r="H2707">
            <v>14.51</v>
          </cell>
        </row>
        <row r="2708">
          <cell r="D2708">
            <v>16870.509999999998</v>
          </cell>
          <cell r="H2708">
            <v>25.3</v>
          </cell>
        </row>
        <row r="2709">
          <cell r="D2709">
            <v>16920.080000000002</v>
          </cell>
          <cell r="H2709">
            <v>12.93</v>
          </cell>
        </row>
        <row r="2710">
          <cell r="D2710">
            <v>16920.169999999998</v>
          </cell>
          <cell r="H2710">
            <v>37.9</v>
          </cell>
        </row>
        <row r="2711">
          <cell r="D2711">
            <v>16920.169999999998</v>
          </cell>
          <cell r="H2711">
            <v>38.299999999999997</v>
          </cell>
        </row>
        <row r="2712">
          <cell r="D2712">
            <v>16920.189999999999</v>
          </cell>
          <cell r="H2712">
            <v>18.45</v>
          </cell>
        </row>
        <row r="2713">
          <cell r="D2713">
            <v>16920.22</v>
          </cell>
          <cell r="H2713">
            <v>19.47</v>
          </cell>
        </row>
        <row r="2714">
          <cell r="D2714">
            <v>16920.259999999998</v>
          </cell>
          <cell r="H2714">
            <v>23.95</v>
          </cell>
        </row>
        <row r="2715">
          <cell r="D2715">
            <v>16920.509999999998</v>
          </cell>
          <cell r="H2715">
            <v>14.09</v>
          </cell>
        </row>
        <row r="2716">
          <cell r="D2716">
            <v>16920.509999999998</v>
          </cell>
          <cell r="H2716">
            <v>24.97</v>
          </cell>
        </row>
        <row r="2717">
          <cell r="D2717">
            <v>16929.14</v>
          </cell>
          <cell r="H2717">
            <v>39.96</v>
          </cell>
        </row>
        <row r="2718">
          <cell r="D2718">
            <v>16929.14</v>
          </cell>
          <cell r="H2718">
            <v>39.44</v>
          </cell>
        </row>
        <row r="2719">
          <cell r="D2719">
            <v>16929.259999999998</v>
          </cell>
          <cell r="H2719">
            <v>14.35</v>
          </cell>
        </row>
        <row r="2720">
          <cell r="D2720">
            <v>16929.29</v>
          </cell>
          <cell r="H2720">
            <v>19.89</v>
          </cell>
        </row>
        <row r="2721">
          <cell r="D2721">
            <v>16929.310000000001</v>
          </cell>
          <cell r="H2721">
            <v>25.37</v>
          </cell>
        </row>
        <row r="2722">
          <cell r="D2722">
            <v>16929.38</v>
          </cell>
          <cell r="H2722">
            <v>21.34</v>
          </cell>
        </row>
        <row r="2723">
          <cell r="D2723">
            <v>16929.38</v>
          </cell>
          <cell r="H2723">
            <v>15.9</v>
          </cell>
        </row>
        <row r="2724">
          <cell r="D2724">
            <v>16929.52</v>
          </cell>
          <cell r="H2724">
            <v>26.83</v>
          </cell>
        </row>
        <row r="2725">
          <cell r="D2725">
            <v>16979.14</v>
          </cell>
          <cell r="H2725">
            <v>35.340000000000003</v>
          </cell>
        </row>
        <row r="2726">
          <cell r="D2726">
            <v>16979.14</v>
          </cell>
          <cell r="H2726">
            <v>35.04</v>
          </cell>
        </row>
        <row r="2727">
          <cell r="D2727">
            <v>16979.259999999998</v>
          </cell>
          <cell r="H2727">
            <v>9.5500000000000007</v>
          </cell>
        </row>
        <row r="2728">
          <cell r="D2728">
            <v>16979.29</v>
          </cell>
          <cell r="H2728">
            <v>15.13</v>
          </cell>
        </row>
        <row r="2729">
          <cell r="D2729">
            <v>16979.310000000001</v>
          </cell>
          <cell r="H2729">
            <v>20.63</v>
          </cell>
        </row>
        <row r="2730">
          <cell r="D2730">
            <v>16979.38</v>
          </cell>
          <cell r="H2730">
            <v>16.23</v>
          </cell>
        </row>
        <row r="2731">
          <cell r="D2731">
            <v>16979.38</v>
          </cell>
          <cell r="H2731">
            <v>10.8</v>
          </cell>
        </row>
        <row r="2732">
          <cell r="D2732">
            <v>16979.52</v>
          </cell>
          <cell r="H2732">
            <v>21.71</v>
          </cell>
        </row>
        <row r="2733">
          <cell r="D2733">
            <v>17029.14</v>
          </cell>
          <cell r="H2733">
            <v>30.03</v>
          </cell>
        </row>
        <row r="2734">
          <cell r="D2734">
            <v>17029.14</v>
          </cell>
          <cell r="H2734">
            <v>30.32</v>
          </cell>
        </row>
        <row r="2735">
          <cell r="D2735">
            <v>17029.259999999998</v>
          </cell>
          <cell r="H2735">
            <v>5.93</v>
          </cell>
        </row>
        <row r="2736">
          <cell r="D2736">
            <v>17029.29</v>
          </cell>
          <cell r="H2736">
            <v>11.39</v>
          </cell>
        </row>
        <row r="2737">
          <cell r="D2737">
            <v>17029.310000000001</v>
          </cell>
          <cell r="H2737">
            <v>16.89</v>
          </cell>
        </row>
        <row r="2738">
          <cell r="D2738">
            <v>17029.38</v>
          </cell>
          <cell r="H2738">
            <v>10.44</v>
          </cell>
        </row>
        <row r="2739">
          <cell r="D2739">
            <v>17029.38</v>
          </cell>
          <cell r="H2739">
            <v>4.96</v>
          </cell>
        </row>
        <row r="2740">
          <cell r="D2740">
            <v>17029.52</v>
          </cell>
          <cell r="H2740">
            <v>15.96</v>
          </cell>
        </row>
        <row r="2741">
          <cell r="D2741">
            <v>17074.84</v>
          </cell>
          <cell r="H2741">
            <v>11.51</v>
          </cell>
        </row>
        <row r="2742">
          <cell r="D2742">
            <v>17074.919999999998</v>
          </cell>
          <cell r="H2742">
            <v>22.52</v>
          </cell>
        </row>
        <row r="2743">
          <cell r="D2743">
            <v>17074.96</v>
          </cell>
          <cell r="H2743">
            <v>36.340000000000003</v>
          </cell>
        </row>
        <row r="2744">
          <cell r="D2744">
            <v>17074.96</v>
          </cell>
          <cell r="H2744">
            <v>36.46</v>
          </cell>
        </row>
        <row r="2745">
          <cell r="D2745">
            <v>17075</v>
          </cell>
          <cell r="H2745">
            <v>17.54</v>
          </cell>
        </row>
        <row r="2746">
          <cell r="D2746">
            <v>17075</v>
          </cell>
          <cell r="H2746">
            <v>12.05</v>
          </cell>
        </row>
        <row r="2747">
          <cell r="D2747">
            <v>17075.02</v>
          </cell>
          <cell r="H2747">
            <v>23.02</v>
          </cell>
        </row>
        <row r="2748">
          <cell r="D2748">
            <v>17075.060000000001</v>
          </cell>
          <cell r="H2748">
            <v>17.059999999999999</v>
          </cell>
        </row>
        <row r="2749">
          <cell r="D2749">
            <v>17124.830000000002</v>
          </cell>
          <cell r="H2749">
            <v>4.93</v>
          </cell>
        </row>
        <row r="2750">
          <cell r="D2750">
            <v>17124.919999999998</v>
          </cell>
          <cell r="H2750">
            <v>15.96</v>
          </cell>
        </row>
        <row r="2751">
          <cell r="D2751">
            <v>17124.96</v>
          </cell>
          <cell r="H2751">
            <v>30.03</v>
          </cell>
        </row>
        <row r="2752">
          <cell r="D2752">
            <v>17124.96</v>
          </cell>
          <cell r="H2752">
            <v>30.33</v>
          </cell>
        </row>
        <row r="2753">
          <cell r="D2753">
            <v>17125</v>
          </cell>
          <cell r="H2753">
            <v>11.38</v>
          </cell>
        </row>
        <row r="2754">
          <cell r="D2754">
            <v>17125</v>
          </cell>
          <cell r="H2754">
            <v>5.95</v>
          </cell>
        </row>
        <row r="2755">
          <cell r="D2755">
            <v>17125.02</v>
          </cell>
          <cell r="H2755">
            <v>16.89</v>
          </cell>
        </row>
        <row r="2756">
          <cell r="D2756">
            <v>17125.060000000001</v>
          </cell>
          <cell r="H2756">
            <v>10.51</v>
          </cell>
        </row>
        <row r="2757">
          <cell r="D2757">
            <v>17174.830000000002</v>
          </cell>
          <cell r="H2757">
            <v>8.07</v>
          </cell>
        </row>
        <row r="2758">
          <cell r="D2758">
            <v>17174.919999999998</v>
          </cell>
          <cell r="H2758">
            <v>19.14</v>
          </cell>
        </row>
        <row r="2759">
          <cell r="D2759">
            <v>17174.96</v>
          </cell>
          <cell r="H2759">
            <v>33.31</v>
          </cell>
        </row>
        <row r="2760">
          <cell r="D2760">
            <v>17174.96</v>
          </cell>
          <cell r="H2760">
            <v>33.29</v>
          </cell>
        </row>
        <row r="2761">
          <cell r="D2761">
            <v>17175</v>
          </cell>
          <cell r="H2761">
            <v>8.3000000000000007</v>
          </cell>
        </row>
        <row r="2762">
          <cell r="D2762">
            <v>17175</v>
          </cell>
          <cell r="H2762">
            <v>13.77</v>
          </cell>
        </row>
        <row r="2763">
          <cell r="D2763">
            <v>17175.02</v>
          </cell>
          <cell r="H2763">
            <v>19.309999999999999</v>
          </cell>
        </row>
        <row r="2764">
          <cell r="D2764">
            <v>17175.060000000001</v>
          </cell>
          <cell r="H2764">
            <v>13.71</v>
          </cell>
        </row>
        <row r="2765">
          <cell r="D2765">
            <v>17224.830000000002</v>
          </cell>
          <cell r="H2765">
            <v>8.15</v>
          </cell>
        </row>
        <row r="2766">
          <cell r="D2766">
            <v>17224.919999999998</v>
          </cell>
          <cell r="H2766">
            <v>19.190000000000001</v>
          </cell>
        </row>
        <row r="2767">
          <cell r="D2767">
            <v>17224.96</v>
          </cell>
          <cell r="H2767">
            <v>33.22</v>
          </cell>
        </row>
        <row r="2768">
          <cell r="D2768">
            <v>17224.96</v>
          </cell>
          <cell r="H2768">
            <v>32.93</v>
          </cell>
        </row>
        <row r="2769">
          <cell r="D2769">
            <v>17225</v>
          </cell>
          <cell r="H2769">
            <v>7.44</v>
          </cell>
        </row>
        <row r="2770">
          <cell r="D2770">
            <v>17225</v>
          </cell>
          <cell r="H2770">
            <v>12.94</v>
          </cell>
        </row>
        <row r="2771">
          <cell r="D2771">
            <v>17225.02</v>
          </cell>
          <cell r="H2771">
            <v>18.489999999999998</v>
          </cell>
        </row>
        <row r="2772">
          <cell r="D2772">
            <v>17225.060000000001</v>
          </cell>
          <cell r="H2772">
            <v>13.76</v>
          </cell>
        </row>
        <row r="2773">
          <cell r="D2773">
            <v>17274.830000000002</v>
          </cell>
          <cell r="H2773">
            <v>10.46</v>
          </cell>
        </row>
        <row r="2774">
          <cell r="D2774">
            <v>17274.919999999998</v>
          </cell>
          <cell r="H2774">
            <v>21.49</v>
          </cell>
        </row>
        <row r="2775">
          <cell r="D2775">
            <v>17274.96</v>
          </cell>
          <cell r="H2775">
            <v>35.65</v>
          </cell>
        </row>
        <row r="2776">
          <cell r="D2776">
            <v>17274.96</v>
          </cell>
          <cell r="H2776">
            <v>36.1</v>
          </cell>
        </row>
        <row r="2777">
          <cell r="D2777">
            <v>17275</v>
          </cell>
          <cell r="H2777">
            <v>12.09</v>
          </cell>
        </row>
        <row r="2778">
          <cell r="D2778">
            <v>17275</v>
          </cell>
          <cell r="H2778">
            <v>17.420000000000002</v>
          </cell>
        </row>
        <row r="2779">
          <cell r="D2779">
            <v>17275.02</v>
          </cell>
          <cell r="H2779">
            <v>22.93</v>
          </cell>
        </row>
        <row r="2780">
          <cell r="D2780">
            <v>17275.060000000001</v>
          </cell>
          <cell r="H2780">
            <v>16.05</v>
          </cell>
        </row>
        <row r="2781">
          <cell r="D2781">
            <v>17324.830000000002</v>
          </cell>
          <cell r="H2781">
            <v>11.36</v>
          </cell>
        </row>
        <row r="2782">
          <cell r="D2782">
            <v>17324.919999999998</v>
          </cell>
          <cell r="H2782">
            <v>22.41</v>
          </cell>
        </row>
        <row r="2783">
          <cell r="D2783">
            <v>17324.96</v>
          </cell>
          <cell r="H2783">
            <v>36.5</v>
          </cell>
        </row>
        <row r="2784">
          <cell r="D2784">
            <v>17324.96</v>
          </cell>
          <cell r="H2784">
            <v>36.75</v>
          </cell>
        </row>
        <row r="2785">
          <cell r="D2785">
            <v>17325</v>
          </cell>
          <cell r="H2785">
            <v>12.5</v>
          </cell>
        </row>
        <row r="2786">
          <cell r="D2786">
            <v>17325</v>
          </cell>
          <cell r="H2786">
            <v>17.96</v>
          </cell>
        </row>
        <row r="2787">
          <cell r="D2787">
            <v>17325.02</v>
          </cell>
          <cell r="H2787">
            <v>23.44</v>
          </cell>
        </row>
        <row r="2788">
          <cell r="D2788">
            <v>17325.060000000001</v>
          </cell>
          <cell r="H2788">
            <v>16.91</v>
          </cell>
        </row>
        <row r="2789">
          <cell r="D2789">
            <v>17332.259999999998</v>
          </cell>
          <cell r="H2789">
            <v>16.84</v>
          </cell>
        </row>
        <row r="2790">
          <cell r="D2790">
            <v>17332.3</v>
          </cell>
          <cell r="H2790">
            <v>11.31</v>
          </cell>
        </row>
        <row r="2791">
          <cell r="D2791">
            <v>17332.43</v>
          </cell>
          <cell r="H2791">
            <v>22.34</v>
          </cell>
        </row>
        <row r="2792">
          <cell r="D2792">
            <v>17332.439999999999</v>
          </cell>
          <cell r="H2792">
            <v>12.34</v>
          </cell>
        </row>
        <row r="2793">
          <cell r="D2793">
            <v>17332.47</v>
          </cell>
          <cell r="H2793">
            <v>17.809999999999999</v>
          </cell>
        </row>
        <row r="2794">
          <cell r="D2794">
            <v>17332.48</v>
          </cell>
          <cell r="H2794">
            <v>23.3</v>
          </cell>
        </row>
        <row r="2795">
          <cell r="D2795">
            <v>17332.55</v>
          </cell>
          <cell r="H2795">
            <v>36.29</v>
          </cell>
        </row>
        <row r="2796">
          <cell r="D2796">
            <v>17332.55</v>
          </cell>
          <cell r="H2796">
            <v>36.67</v>
          </cell>
        </row>
        <row r="2797">
          <cell r="D2797">
            <v>17382.259999999998</v>
          </cell>
          <cell r="H2797">
            <v>13.93</v>
          </cell>
        </row>
        <row r="2798">
          <cell r="D2798">
            <v>17382.3</v>
          </cell>
          <cell r="H2798">
            <v>8.34</v>
          </cell>
        </row>
        <row r="2799">
          <cell r="D2799">
            <v>17382.43</v>
          </cell>
          <cell r="H2799">
            <v>19.45</v>
          </cell>
        </row>
        <row r="2800">
          <cell r="D2800">
            <v>17382.439999999999</v>
          </cell>
          <cell r="H2800">
            <v>9.34</v>
          </cell>
        </row>
        <row r="2801">
          <cell r="D2801">
            <v>17382.47</v>
          </cell>
          <cell r="H2801">
            <v>14.81</v>
          </cell>
        </row>
        <row r="2802">
          <cell r="D2802">
            <v>17382.48</v>
          </cell>
          <cell r="H2802">
            <v>20.350000000000001</v>
          </cell>
        </row>
        <row r="2803">
          <cell r="D2803">
            <v>17382.55</v>
          </cell>
          <cell r="H2803">
            <v>33.75</v>
          </cell>
        </row>
        <row r="2804">
          <cell r="D2804">
            <v>17382.55</v>
          </cell>
          <cell r="H2804">
            <v>33.47</v>
          </cell>
        </row>
        <row r="2805">
          <cell r="D2805">
            <v>17432.259999999998</v>
          </cell>
          <cell r="H2805">
            <v>15.02</v>
          </cell>
        </row>
        <row r="2806">
          <cell r="D2806">
            <v>17432.3</v>
          </cell>
          <cell r="H2806">
            <v>9.4700000000000006</v>
          </cell>
        </row>
        <row r="2807">
          <cell r="D2807">
            <v>17432.43</v>
          </cell>
          <cell r="H2807">
            <v>20.53</v>
          </cell>
        </row>
        <row r="2808">
          <cell r="D2808">
            <v>17432.439999999999</v>
          </cell>
          <cell r="H2808">
            <v>9.76</v>
          </cell>
        </row>
        <row r="2809">
          <cell r="D2809">
            <v>17432.47</v>
          </cell>
          <cell r="H2809">
            <v>15.24</v>
          </cell>
        </row>
        <row r="2810">
          <cell r="D2810">
            <v>17432.48</v>
          </cell>
          <cell r="H2810">
            <v>20.82</v>
          </cell>
        </row>
        <row r="2811">
          <cell r="D2811">
            <v>17432.55</v>
          </cell>
          <cell r="H2811">
            <v>34.5</v>
          </cell>
        </row>
      </sheetData>
      <sheetData sheetId="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art1"/>
      <sheetName val="Calcs"/>
      <sheetName val="HWD"/>
      <sheetName val="Guide"/>
      <sheetName val="Mrp eqiv"/>
      <sheetName val="Weather Cases"/>
      <sheetName val="Criteria_Cable Tensions"/>
      <sheetName val="Criteria_Structure Loads"/>
      <sheetName val="Code Comparison"/>
      <sheetName val="Risk Matrix"/>
      <sheetName val="BM03"/>
      <sheetName val="windret"/>
      <sheetName val="Theory_Chart"/>
      <sheetName val="Theory"/>
      <sheetName val="CA Capacities"/>
      <sheetName val="CADD Lookup"/>
      <sheetName val="CRF"/>
      <sheetName val="FIGURES"/>
      <sheetName val="Structure groups"/>
      <sheetName val="Seismic"/>
      <sheetName val="12.02"/>
      <sheetName val="Nom Pressure"/>
      <sheetName val="Ice"/>
      <sheetName val="Wood"/>
      <sheetName val="Blowout"/>
    </sheet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refreshError="1"/>
      <sheetData sheetId="13"/>
      <sheetData sheetId="14"/>
      <sheetData sheetId="15">
        <row r="3">
          <cell r="F3" t="str">
            <v>Ahead Spans</v>
          </cell>
          <cell r="I3" t="str">
            <v>% Hor. Ten. (changes V, T and L)</v>
          </cell>
        </row>
        <row r="4">
          <cell r="F4" t="str">
            <v>Back Spans</v>
          </cell>
          <cell r="I4" t="str">
            <v># Broken Subconductors</v>
          </cell>
        </row>
        <row r="5">
          <cell r="F5" t="str">
            <v>Back+Ahead Spans</v>
          </cell>
          <cell r="I5" t="str">
            <v>Add Vert. Load (wire coord. system)</v>
          </cell>
        </row>
        <row r="6">
          <cell r="F6" t="str">
            <v>1:1:Back</v>
          </cell>
          <cell r="I6" t="str">
            <v>Add Trans. Load (wire coord. system)</v>
          </cell>
        </row>
        <row r="7">
          <cell r="F7" t="str">
            <v>1:1:Ahead</v>
          </cell>
          <cell r="I7" t="str">
            <v>Add Long. Load (wire coord. system)</v>
          </cell>
        </row>
        <row r="8">
          <cell r="F8" t="str">
            <v>1:1:Back+Ahead</v>
          </cell>
          <cell r="I8" t="str">
            <v>% Vert. Load (wire coord. system)</v>
          </cell>
        </row>
        <row r="9">
          <cell r="F9" t="str">
            <v>2:1:Back</v>
          </cell>
          <cell r="I9" t="str">
            <v>% Trans. Load (wire coord. system)</v>
          </cell>
        </row>
        <row r="10">
          <cell r="F10" t="str">
            <v>2:1:Ahead</v>
          </cell>
          <cell r="I10" t="str">
            <v>% Long. Load (wire coord. system)</v>
          </cell>
        </row>
        <row r="11">
          <cell r="F11" t="str">
            <v>2:1:Back+Ahead</v>
          </cell>
          <cell r="I11" t="str">
            <v>% Wire Ice</v>
          </cell>
        </row>
        <row r="12">
          <cell r="F12" t="str">
            <v>3:1:Back</v>
          </cell>
          <cell r="I12" t="str">
            <v>% Wire Wind Pressure</v>
          </cell>
        </row>
        <row r="13">
          <cell r="F13" t="str">
            <v>3:1:Ahead</v>
          </cell>
          <cell r="I13" t="str">
            <v>% Wire Dead Weight</v>
          </cell>
        </row>
        <row r="14">
          <cell r="F14" t="str">
            <v>3:1:Back+Ahead</v>
          </cell>
          <cell r="I14" t="str">
            <v>Rotate wire coord. system clockwise after sag-tension</v>
          </cell>
        </row>
        <row r="15">
          <cell r="F15" t="str">
            <v>4:1:Back</v>
          </cell>
        </row>
        <row r="16">
          <cell r="F16" t="str">
            <v>4:1:Ahead</v>
          </cell>
        </row>
        <row r="17">
          <cell r="F17" t="str">
            <v>4:1:Back+Ahead</v>
          </cell>
        </row>
        <row r="18">
          <cell r="F18" t="str">
            <v>5:1:Back</v>
          </cell>
        </row>
        <row r="19">
          <cell r="F19" t="str">
            <v>5:1:Ahead</v>
          </cell>
        </row>
        <row r="20">
          <cell r="F20" t="str">
            <v>5:1:Back+Ahead</v>
          </cell>
        </row>
        <row r="21">
          <cell r="F21" t="str">
            <v>6:1:Back</v>
          </cell>
        </row>
        <row r="22">
          <cell r="F22" t="str">
            <v>6:1:Ahead</v>
          </cell>
        </row>
        <row r="23">
          <cell r="F23" t="str">
            <v>6:1:Back+Ahead</v>
          </cell>
        </row>
        <row r="24">
          <cell r="F24" t="str">
            <v>7:1:Back</v>
          </cell>
        </row>
        <row r="25">
          <cell r="F25" t="str">
            <v>7:1:Ahead</v>
          </cell>
        </row>
        <row r="26">
          <cell r="F26" t="str">
            <v>7:1:Back+Ahead</v>
          </cell>
        </row>
        <row r="27">
          <cell r="F27" t="str">
            <v>8:1:Back</v>
          </cell>
        </row>
        <row r="28">
          <cell r="F28" t="str">
            <v>8:1:Ahead</v>
          </cell>
        </row>
        <row r="29">
          <cell r="F29" t="str">
            <v>8:1:Back+Ahead</v>
          </cell>
        </row>
        <row r="30">
          <cell r="F30" t="str">
            <v>11:1:Back</v>
          </cell>
        </row>
        <row r="31">
          <cell r="F31" t="str">
            <v>11:1:Ahead</v>
          </cell>
        </row>
        <row r="32">
          <cell r="F32" t="str">
            <v>11:1:Back+Ahead</v>
          </cell>
        </row>
        <row r="33">
          <cell r="F33" t="str">
            <v>12:1:Back</v>
          </cell>
        </row>
        <row r="34">
          <cell r="F34" t="str">
            <v>12:1:Ahead</v>
          </cell>
        </row>
        <row r="35">
          <cell r="F35" t="str">
            <v>12:1:Back+Ahead</v>
          </cell>
        </row>
        <row r="36">
          <cell r="F36" t="str">
            <v>13:1:Back</v>
          </cell>
        </row>
        <row r="37">
          <cell r="F37" t="str">
            <v>13:1:Ahead</v>
          </cell>
        </row>
        <row r="38">
          <cell r="F38" t="str">
            <v>13:1:Back+Ahead</v>
          </cell>
        </row>
        <row r="39">
          <cell r="F39" t="str">
            <v>14:1:Back</v>
          </cell>
        </row>
        <row r="40">
          <cell r="F40" t="str">
            <v>14:1:Ahead</v>
          </cell>
        </row>
        <row r="41">
          <cell r="F41" t="str">
            <v>14:1:Back+Ahead</v>
          </cell>
        </row>
        <row r="42">
          <cell r="F42" t="str">
            <v>15:1:Back</v>
          </cell>
        </row>
        <row r="43">
          <cell r="F43" t="str">
            <v>15:1:Ahead</v>
          </cell>
        </row>
        <row r="44">
          <cell r="F44" t="str">
            <v>15:1:Back+Ahead</v>
          </cell>
        </row>
        <row r="45">
          <cell r="F45" t="str">
            <v>16:1:Back</v>
          </cell>
        </row>
        <row r="46">
          <cell r="F46" t="str">
            <v>16:1:Ahead</v>
          </cell>
        </row>
        <row r="47">
          <cell r="F47" t="str">
            <v>16:1:Back+Ahead</v>
          </cell>
        </row>
        <row r="48">
          <cell r="F48" t="str">
            <v>17:1:Back</v>
          </cell>
        </row>
        <row r="49">
          <cell r="F49" t="str">
            <v>17:1:Ahead</v>
          </cell>
        </row>
        <row r="50">
          <cell r="F50" t="str">
            <v>17:1:Back+Ahead</v>
          </cell>
        </row>
        <row r="51">
          <cell r="F51" t="str">
            <v>18:1:Back</v>
          </cell>
        </row>
        <row r="52">
          <cell r="F52" t="str">
            <v>18:1:Ahead</v>
          </cell>
        </row>
        <row r="53">
          <cell r="F53" t="str">
            <v>18:1:Back+Ahead</v>
          </cell>
        </row>
      </sheetData>
      <sheetData sheetId="16"/>
      <sheetData sheetId="17"/>
      <sheetData sheetId="18"/>
      <sheetData sheetId="19"/>
      <sheetData sheetId="20"/>
      <sheetData sheetId="21"/>
      <sheetData sheetId="22"/>
      <sheetData sheetId="23"/>
      <sheetData sheetId="24"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2.xml"/><Relationship Id="rId1" Type="http://schemas.openxmlformats.org/officeDocument/2006/relationships/printerSettings" Target="../printerSettings/printerSettings10.bin"/><Relationship Id="rId4" Type="http://schemas.openxmlformats.org/officeDocument/2006/relationships/comments" Target="../comments5.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11.bin"/><Relationship Id="rId4" Type="http://schemas.openxmlformats.org/officeDocument/2006/relationships/comments" Target="../comments6.x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vmlDrawing" Target="../drawings/vmlDrawing3.v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6.bin"/><Relationship Id="rId4" Type="http://schemas.openxmlformats.org/officeDocument/2006/relationships/comments" Target="../comments3.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7.bin"/><Relationship Id="rId4" Type="http://schemas.openxmlformats.org/officeDocument/2006/relationships/comments" Target="../comments4.xml"/></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D119"/>
  <sheetViews>
    <sheetView zoomScale="130" zoomScaleNormal="130" workbookViewId="0">
      <pane ySplit="20" topLeftCell="A99" activePane="bottomLeft" state="frozen"/>
      <selection pane="bottomLeft"/>
    </sheetView>
  </sheetViews>
  <sheetFormatPr defaultRowHeight="12.75" x14ac:dyDescent="0.2"/>
  <cols>
    <col min="2" max="2" width="11" style="167" customWidth="1"/>
    <col min="3" max="3" width="118.42578125" style="1" customWidth="1"/>
    <col min="4" max="4" width="27.42578125" customWidth="1"/>
  </cols>
  <sheetData>
    <row r="1" spans="1:4" ht="15" x14ac:dyDescent="0.25">
      <c r="A1" s="212" t="s">
        <v>0</v>
      </c>
      <c r="B1"/>
    </row>
    <row r="3" spans="1:4" x14ac:dyDescent="0.2">
      <c r="A3" s="37" t="s">
        <v>1</v>
      </c>
      <c r="B3" s="37" t="s">
        <v>2</v>
      </c>
      <c r="C3" s="247" t="s">
        <v>3</v>
      </c>
    </row>
    <row r="4" spans="1:4" hidden="1" x14ac:dyDescent="0.2">
      <c r="A4" s="248">
        <v>4</v>
      </c>
      <c r="B4" s="375">
        <v>42664</v>
      </c>
      <c r="C4" s="249" t="s">
        <v>4</v>
      </c>
    </row>
    <row r="5" spans="1:4" hidden="1" x14ac:dyDescent="0.2">
      <c r="A5" s="248"/>
      <c r="B5" s="375">
        <v>42664</v>
      </c>
      <c r="C5" s="249" t="s">
        <v>5</v>
      </c>
    </row>
    <row r="6" spans="1:4" hidden="1" x14ac:dyDescent="0.2">
      <c r="A6" s="248"/>
      <c r="B6" s="375">
        <v>42664</v>
      </c>
      <c r="C6" s="249" t="s">
        <v>6</v>
      </c>
    </row>
    <row r="7" spans="1:4" hidden="1" x14ac:dyDescent="0.2">
      <c r="A7" s="248"/>
      <c r="B7" s="375">
        <v>42664</v>
      </c>
      <c r="C7" s="249" t="s">
        <v>7</v>
      </c>
    </row>
    <row r="8" spans="1:4" ht="25.5" hidden="1" x14ac:dyDescent="0.2">
      <c r="A8" s="248"/>
      <c r="B8" s="375">
        <v>42665</v>
      </c>
      <c r="C8" s="249" t="s">
        <v>8</v>
      </c>
    </row>
    <row r="9" spans="1:4" hidden="1" x14ac:dyDescent="0.2">
      <c r="A9" s="248">
        <v>5</v>
      </c>
      <c r="B9" s="375">
        <v>42665</v>
      </c>
      <c r="C9" s="249" t="s">
        <v>9</v>
      </c>
    </row>
    <row r="10" spans="1:4" hidden="1" x14ac:dyDescent="0.2">
      <c r="A10" s="261">
        <v>6</v>
      </c>
      <c r="B10" s="375">
        <v>42705</v>
      </c>
      <c r="C10" s="260" t="s">
        <v>10</v>
      </c>
    </row>
    <row r="11" spans="1:4" hidden="1" x14ac:dyDescent="0.2">
      <c r="A11" s="261"/>
      <c r="B11" s="375">
        <v>42705</v>
      </c>
      <c r="C11" s="260" t="s">
        <v>11</v>
      </c>
    </row>
    <row r="12" spans="1:4" hidden="1" x14ac:dyDescent="0.2">
      <c r="A12" s="261"/>
      <c r="B12" s="375">
        <v>42705</v>
      </c>
      <c r="C12" s="260" t="s">
        <v>12</v>
      </c>
      <c r="D12" s="277" t="s">
        <v>13</v>
      </c>
    </row>
    <row r="13" spans="1:4" hidden="1" x14ac:dyDescent="0.2">
      <c r="A13" s="261"/>
      <c r="B13" s="375">
        <v>42705</v>
      </c>
      <c r="C13" s="260" t="s">
        <v>14</v>
      </c>
      <c r="D13" s="277"/>
    </row>
    <row r="14" spans="1:4" hidden="1" x14ac:dyDescent="0.2">
      <c r="A14" s="261"/>
      <c r="B14" s="375">
        <v>42705</v>
      </c>
      <c r="C14" s="260" t="s">
        <v>15</v>
      </c>
    </row>
    <row r="15" spans="1:4" hidden="1" x14ac:dyDescent="0.2">
      <c r="A15" s="261"/>
      <c r="B15" s="375">
        <v>42705</v>
      </c>
      <c r="C15" s="260" t="s">
        <v>16</v>
      </c>
    </row>
    <row r="16" spans="1:4" hidden="1" x14ac:dyDescent="0.2">
      <c r="A16" s="261"/>
      <c r="B16" s="375">
        <v>42705</v>
      </c>
      <c r="C16" s="250" t="s">
        <v>17</v>
      </c>
    </row>
    <row r="17" spans="1:4" ht="89.25" hidden="1" x14ac:dyDescent="0.2">
      <c r="A17" s="261"/>
      <c r="B17" s="375">
        <v>42705</v>
      </c>
      <c r="C17" s="308" t="s">
        <v>18</v>
      </c>
      <c r="D17" s="309" t="s">
        <v>19</v>
      </c>
    </row>
    <row r="18" spans="1:4" hidden="1" x14ac:dyDescent="0.2">
      <c r="A18" s="261"/>
      <c r="B18" s="375">
        <v>42709</v>
      </c>
      <c r="C18" s="260" t="s">
        <v>20</v>
      </c>
    </row>
    <row r="19" spans="1:4" hidden="1" x14ac:dyDescent="0.2">
      <c r="A19" s="261">
        <v>7</v>
      </c>
      <c r="B19" s="375">
        <v>42715</v>
      </c>
      <c r="C19" s="260" t="s">
        <v>21</v>
      </c>
    </row>
    <row r="20" spans="1:4" hidden="1" x14ac:dyDescent="0.2">
      <c r="A20" s="29" t="s">
        <v>22</v>
      </c>
      <c r="B20" s="376">
        <v>42752</v>
      </c>
      <c r="C20" s="260" t="s">
        <v>23</v>
      </c>
    </row>
    <row r="21" spans="1:4" x14ac:dyDescent="0.2">
      <c r="A21" s="373" t="s">
        <v>24</v>
      </c>
      <c r="B21" s="375">
        <v>42767</v>
      </c>
      <c r="C21" s="374" t="s">
        <v>25</v>
      </c>
    </row>
    <row r="22" spans="1:4" x14ac:dyDescent="0.2">
      <c r="A22" s="373" t="s">
        <v>26</v>
      </c>
      <c r="B22" s="375">
        <v>42770</v>
      </c>
      <c r="C22" s="249" t="s">
        <v>27</v>
      </c>
    </row>
    <row r="23" spans="1:4" x14ac:dyDescent="0.2">
      <c r="A23" s="373" t="s">
        <v>26</v>
      </c>
      <c r="B23" s="375">
        <v>42770</v>
      </c>
      <c r="C23" s="374" t="s">
        <v>28</v>
      </c>
    </row>
    <row r="24" spans="1:4" x14ac:dyDescent="0.2">
      <c r="A24" s="32" t="s">
        <v>26</v>
      </c>
      <c r="B24" s="378">
        <v>42770</v>
      </c>
      <c r="C24" s="374" t="s">
        <v>29</v>
      </c>
    </row>
    <row r="25" spans="1:4" x14ac:dyDescent="0.2">
      <c r="A25" s="32" t="s">
        <v>26</v>
      </c>
      <c r="B25" s="378">
        <v>42772</v>
      </c>
      <c r="C25" s="374" t="s">
        <v>30</v>
      </c>
    </row>
    <row r="26" spans="1:4" x14ac:dyDescent="0.2">
      <c r="A26" s="32" t="s">
        <v>26</v>
      </c>
      <c r="B26" s="378">
        <v>42781</v>
      </c>
      <c r="C26" s="374" t="s">
        <v>31</v>
      </c>
    </row>
    <row r="27" spans="1:4" ht="38.25" x14ac:dyDescent="0.2">
      <c r="A27" s="373" t="s">
        <v>32</v>
      </c>
      <c r="B27" s="375">
        <v>42787</v>
      </c>
      <c r="C27" s="374" t="s">
        <v>33</v>
      </c>
    </row>
    <row r="28" spans="1:4" x14ac:dyDescent="0.2">
      <c r="A28" s="373" t="s">
        <v>32</v>
      </c>
      <c r="B28" s="375">
        <v>42787</v>
      </c>
      <c r="C28" s="379" t="s">
        <v>34</v>
      </c>
    </row>
    <row r="29" spans="1:4" x14ac:dyDescent="0.2">
      <c r="A29" s="373" t="s">
        <v>32</v>
      </c>
      <c r="B29" s="375">
        <v>42787</v>
      </c>
      <c r="C29" s="379" t="s">
        <v>35</v>
      </c>
    </row>
    <row r="30" spans="1:4" x14ac:dyDescent="0.2">
      <c r="A30" s="373" t="s">
        <v>32</v>
      </c>
      <c r="B30" s="375">
        <v>42787</v>
      </c>
      <c r="C30" s="379" t="s">
        <v>36</v>
      </c>
    </row>
    <row r="31" spans="1:4" x14ac:dyDescent="0.2">
      <c r="A31" s="373" t="s">
        <v>32</v>
      </c>
      <c r="B31" s="375">
        <v>42787</v>
      </c>
      <c r="C31" s="374" t="s">
        <v>37</v>
      </c>
    </row>
    <row r="32" spans="1:4" ht="25.5" x14ac:dyDescent="0.2">
      <c r="A32" s="373" t="s">
        <v>38</v>
      </c>
      <c r="B32" s="375">
        <v>42788</v>
      </c>
      <c r="C32" s="374" t="s">
        <v>39</v>
      </c>
    </row>
    <row r="33" spans="1:3" x14ac:dyDescent="0.2">
      <c r="A33" s="529" t="s">
        <v>40</v>
      </c>
      <c r="B33" s="382">
        <v>42789</v>
      </c>
      <c r="C33" s="383" t="s">
        <v>41</v>
      </c>
    </row>
    <row r="34" spans="1:3" x14ac:dyDescent="0.2">
      <c r="A34" s="32" t="s">
        <v>42</v>
      </c>
      <c r="B34" s="378">
        <v>75679</v>
      </c>
      <c r="C34" s="379" t="s">
        <v>43</v>
      </c>
    </row>
    <row r="35" spans="1:3" x14ac:dyDescent="0.2">
      <c r="A35" s="32" t="s">
        <v>42</v>
      </c>
      <c r="B35" s="378">
        <v>42822</v>
      </c>
      <c r="C35" s="379" t="s">
        <v>44</v>
      </c>
    </row>
    <row r="36" spans="1:3" x14ac:dyDescent="0.2">
      <c r="A36" s="32" t="s">
        <v>42</v>
      </c>
      <c r="B36" s="378">
        <v>42822</v>
      </c>
      <c r="C36" s="379" t="s">
        <v>45</v>
      </c>
    </row>
    <row r="37" spans="1:3" x14ac:dyDescent="0.2">
      <c r="A37" s="32" t="s">
        <v>46</v>
      </c>
      <c r="B37" s="378">
        <v>42823</v>
      </c>
      <c r="C37" s="511" t="s">
        <v>47</v>
      </c>
    </row>
    <row r="38" spans="1:3" x14ac:dyDescent="0.2">
      <c r="A38" s="32" t="s">
        <v>46</v>
      </c>
      <c r="B38" s="378">
        <v>42828</v>
      </c>
      <c r="C38" s="379" t="s">
        <v>48</v>
      </c>
    </row>
    <row r="39" spans="1:3" ht="51" x14ac:dyDescent="0.2">
      <c r="A39" s="32" t="s">
        <v>46</v>
      </c>
      <c r="B39" s="378">
        <v>42829</v>
      </c>
      <c r="C39" s="379" t="s">
        <v>49</v>
      </c>
    </row>
    <row r="40" spans="1:3" x14ac:dyDescent="0.2">
      <c r="A40" s="32" t="s">
        <v>46</v>
      </c>
      <c r="B40" s="378">
        <v>42829</v>
      </c>
      <c r="C40" s="379" t="s">
        <v>50</v>
      </c>
    </row>
    <row r="41" spans="1:3" x14ac:dyDescent="0.2">
      <c r="A41" s="529" t="s">
        <v>51</v>
      </c>
      <c r="B41" s="382">
        <v>42829</v>
      </c>
      <c r="C41" s="383" t="s">
        <v>41</v>
      </c>
    </row>
    <row r="42" spans="1:3" ht="57" x14ac:dyDescent="0.2">
      <c r="A42" s="373" t="s">
        <v>52</v>
      </c>
      <c r="B42" s="375">
        <v>42830</v>
      </c>
      <c r="C42" s="374" t="s">
        <v>53</v>
      </c>
    </row>
    <row r="43" spans="1:3" x14ac:dyDescent="0.2">
      <c r="A43" s="373" t="s">
        <v>52</v>
      </c>
      <c r="B43" s="375">
        <v>42830</v>
      </c>
      <c r="C43" s="308" t="s">
        <v>54</v>
      </c>
    </row>
    <row r="44" spans="1:3" x14ac:dyDescent="0.2">
      <c r="A44" s="373" t="s">
        <v>52</v>
      </c>
      <c r="B44" s="375">
        <v>42830</v>
      </c>
      <c r="C44" s="374" t="s">
        <v>55</v>
      </c>
    </row>
    <row r="45" spans="1:3" ht="25.5" x14ac:dyDescent="0.2">
      <c r="A45" s="373" t="s">
        <v>52</v>
      </c>
      <c r="B45" s="375">
        <v>42830</v>
      </c>
      <c r="C45" s="374" t="s">
        <v>56</v>
      </c>
    </row>
    <row r="46" spans="1:3" ht="63.75" x14ac:dyDescent="0.2">
      <c r="A46" s="373" t="s">
        <v>52</v>
      </c>
      <c r="B46" s="375">
        <v>42830</v>
      </c>
      <c r="C46" s="374" t="s">
        <v>57</v>
      </c>
    </row>
    <row r="47" spans="1:3" ht="89.25" x14ac:dyDescent="0.2">
      <c r="A47" s="373" t="s">
        <v>58</v>
      </c>
      <c r="B47" s="375">
        <v>42834</v>
      </c>
      <c r="C47" s="374" t="s">
        <v>59</v>
      </c>
    </row>
    <row r="48" spans="1:3" x14ac:dyDescent="0.2">
      <c r="A48" s="529" t="s">
        <v>60</v>
      </c>
      <c r="B48" s="382">
        <v>42834</v>
      </c>
      <c r="C48" s="383" t="s">
        <v>41</v>
      </c>
    </row>
    <row r="49" spans="1:3" ht="25.5" x14ac:dyDescent="0.2">
      <c r="A49" s="373" t="s">
        <v>61</v>
      </c>
      <c r="B49" s="375">
        <v>42836</v>
      </c>
      <c r="C49" s="374" t="s">
        <v>62</v>
      </c>
    </row>
    <row r="50" spans="1:3" x14ac:dyDescent="0.2">
      <c r="A50" s="373" t="s">
        <v>61</v>
      </c>
      <c r="B50" s="375">
        <v>42836</v>
      </c>
      <c r="C50" s="374" t="s">
        <v>63</v>
      </c>
    </row>
    <row r="51" spans="1:3" ht="38.25" x14ac:dyDescent="0.2">
      <c r="A51" s="373" t="s">
        <v>61</v>
      </c>
      <c r="B51" s="375">
        <v>42836</v>
      </c>
      <c r="C51" s="374" t="s">
        <v>64</v>
      </c>
    </row>
    <row r="52" spans="1:3" x14ac:dyDescent="0.2">
      <c r="A52" s="32" t="s">
        <v>61</v>
      </c>
      <c r="B52" s="378">
        <v>42836</v>
      </c>
      <c r="C52" s="308" t="s">
        <v>65</v>
      </c>
    </row>
    <row r="53" spans="1:3" x14ac:dyDescent="0.2">
      <c r="A53" s="373" t="s">
        <v>61</v>
      </c>
      <c r="B53" s="375">
        <v>42836</v>
      </c>
      <c r="C53" s="374" t="s">
        <v>66</v>
      </c>
    </row>
    <row r="54" spans="1:3" ht="38.25" x14ac:dyDescent="0.2">
      <c r="A54" s="373" t="s">
        <v>61</v>
      </c>
      <c r="B54" s="375">
        <v>42836</v>
      </c>
      <c r="C54" s="374" t="s">
        <v>67</v>
      </c>
    </row>
    <row r="55" spans="1:3" ht="25.5" x14ac:dyDescent="0.2">
      <c r="A55" s="373" t="s">
        <v>61</v>
      </c>
      <c r="B55" s="375">
        <v>42836</v>
      </c>
      <c r="C55" s="374" t="s">
        <v>68</v>
      </c>
    </row>
    <row r="56" spans="1:3" x14ac:dyDescent="0.2">
      <c r="A56" s="373" t="s">
        <v>61</v>
      </c>
      <c r="B56" s="375">
        <v>42836</v>
      </c>
      <c r="C56" s="374" t="s">
        <v>69</v>
      </c>
    </row>
    <row r="57" spans="1:3" ht="25.5" x14ac:dyDescent="0.2">
      <c r="A57" s="373" t="s">
        <v>70</v>
      </c>
      <c r="B57" s="375">
        <v>42837</v>
      </c>
      <c r="C57" s="374" t="s">
        <v>71</v>
      </c>
    </row>
    <row r="58" spans="1:3" ht="25.5" x14ac:dyDescent="0.2">
      <c r="A58" s="373" t="s">
        <v>70</v>
      </c>
      <c r="B58" s="375">
        <v>42837</v>
      </c>
      <c r="C58" s="374" t="s">
        <v>72</v>
      </c>
    </row>
    <row r="59" spans="1:3" x14ac:dyDescent="0.2">
      <c r="A59" s="373" t="s">
        <v>70</v>
      </c>
      <c r="B59" s="375">
        <v>42837</v>
      </c>
      <c r="C59" s="374" t="s">
        <v>73</v>
      </c>
    </row>
    <row r="60" spans="1:3" x14ac:dyDescent="0.2">
      <c r="A60" s="373" t="s">
        <v>70</v>
      </c>
      <c r="B60" s="375">
        <v>42837</v>
      </c>
      <c r="C60" s="374" t="s">
        <v>74</v>
      </c>
    </row>
    <row r="61" spans="1:3" x14ac:dyDescent="0.2">
      <c r="A61" s="373" t="s">
        <v>70</v>
      </c>
      <c r="B61" s="375">
        <v>42838</v>
      </c>
      <c r="C61" s="374" t="s">
        <v>75</v>
      </c>
    </row>
    <row r="62" spans="1:3" x14ac:dyDescent="0.2">
      <c r="A62" s="373" t="s">
        <v>70</v>
      </c>
      <c r="B62" s="375">
        <v>42838</v>
      </c>
      <c r="C62" s="374" t="s">
        <v>76</v>
      </c>
    </row>
    <row r="63" spans="1:3" x14ac:dyDescent="0.2">
      <c r="A63" s="373" t="s">
        <v>70</v>
      </c>
      <c r="B63" s="375">
        <v>42838</v>
      </c>
      <c r="C63" s="374" t="s">
        <v>77</v>
      </c>
    </row>
    <row r="64" spans="1:3" ht="25.5" x14ac:dyDescent="0.2">
      <c r="A64" s="373" t="s">
        <v>70</v>
      </c>
      <c r="B64" s="375">
        <v>42838</v>
      </c>
      <c r="C64" s="374" t="s">
        <v>78</v>
      </c>
    </row>
    <row r="65" spans="1:3" x14ac:dyDescent="0.2">
      <c r="A65" s="373" t="s">
        <v>70</v>
      </c>
      <c r="B65" s="375">
        <v>42842</v>
      </c>
      <c r="C65" s="374" t="s">
        <v>79</v>
      </c>
    </row>
    <row r="66" spans="1:3" ht="38.25" x14ac:dyDescent="0.2">
      <c r="A66" s="373" t="s">
        <v>80</v>
      </c>
      <c r="B66" s="375">
        <v>42845</v>
      </c>
      <c r="C66" s="374" t="s">
        <v>81</v>
      </c>
    </row>
    <row r="67" spans="1:3" ht="51" x14ac:dyDescent="0.2">
      <c r="A67" s="373" t="s">
        <v>80</v>
      </c>
      <c r="B67" s="375">
        <v>42845</v>
      </c>
      <c r="C67" s="374" t="s">
        <v>82</v>
      </c>
    </row>
    <row r="68" spans="1:3" x14ac:dyDescent="0.2">
      <c r="A68" s="373" t="s">
        <v>80</v>
      </c>
      <c r="B68" s="375">
        <v>42845</v>
      </c>
      <c r="C68" s="374" t="s">
        <v>83</v>
      </c>
    </row>
    <row r="69" spans="1:3" ht="25.5" x14ac:dyDescent="0.2">
      <c r="A69" s="373" t="s">
        <v>80</v>
      </c>
      <c r="B69" s="375">
        <v>42845</v>
      </c>
      <c r="C69" s="374" t="s">
        <v>84</v>
      </c>
    </row>
    <row r="70" spans="1:3" x14ac:dyDescent="0.2">
      <c r="A70" s="373" t="s">
        <v>85</v>
      </c>
      <c r="B70" s="375">
        <v>42845</v>
      </c>
      <c r="C70" s="374" t="s">
        <v>86</v>
      </c>
    </row>
    <row r="71" spans="1:3" ht="25.5" x14ac:dyDescent="0.2">
      <c r="A71" s="373" t="s">
        <v>85</v>
      </c>
      <c r="B71" s="375">
        <v>42849</v>
      </c>
      <c r="C71" s="374" t="s">
        <v>87</v>
      </c>
    </row>
    <row r="72" spans="1:3" x14ac:dyDescent="0.2">
      <c r="A72" s="486" t="s">
        <v>88</v>
      </c>
      <c r="B72" s="487">
        <v>42849</v>
      </c>
      <c r="C72" s="488" t="s">
        <v>89</v>
      </c>
    </row>
    <row r="73" spans="1:3" ht="25.5" x14ac:dyDescent="0.2">
      <c r="A73" s="373" t="s">
        <v>90</v>
      </c>
      <c r="B73" s="375">
        <v>42891</v>
      </c>
      <c r="C73" s="374" t="s">
        <v>91</v>
      </c>
    </row>
    <row r="74" spans="1:3" ht="38.25" x14ac:dyDescent="0.2">
      <c r="A74" s="373" t="s">
        <v>90</v>
      </c>
      <c r="B74" s="375">
        <v>42938</v>
      </c>
      <c r="C74" s="374" t="s">
        <v>92</v>
      </c>
    </row>
    <row r="75" spans="1:3" x14ac:dyDescent="0.2">
      <c r="A75" s="373" t="s">
        <v>90</v>
      </c>
      <c r="B75" s="375">
        <v>42938</v>
      </c>
      <c r="C75" s="374" t="s">
        <v>93</v>
      </c>
    </row>
    <row r="76" spans="1:3" x14ac:dyDescent="0.2">
      <c r="A76" s="486" t="s">
        <v>94</v>
      </c>
      <c r="B76" s="487">
        <v>42939</v>
      </c>
      <c r="C76" s="488" t="s">
        <v>89</v>
      </c>
    </row>
    <row r="77" spans="1:3" x14ac:dyDescent="0.2">
      <c r="A77" s="373" t="s">
        <v>95</v>
      </c>
      <c r="B77" s="375">
        <v>42951</v>
      </c>
      <c r="C77" s="374" t="s">
        <v>96</v>
      </c>
    </row>
    <row r="78" spans="1:3" x14ac:dyDescent="0.2">
      <c r="A78" s="373" t="s">
        <v>95</v>
      </c>
      <c r="B78" s="375">
        <v>42969</v>
      </c>
      <c r="C78" s="374" t="s">
        <v>97</v>
      </c>
    </row>
    <row r="79" spans="1:3" x14ac:dyDescent="0.2">
      <c r="A79" s="373" t="s">
        <v>95</v>
      </c>
      <c r="B79" s="375">
        <v>42969</v>
      </c>
      <c r="C79" s="374" t="s">
        <v>98</v>
      </c>
    </row>
    <row r="80" spans="1:3" x14ac:dyDescent="0.2">
      <c r="A80" s="486" t="s">
        <v>99</v>
      </c>
      <c r="B80" s="487">
        <v>43068</v>
      </c>
      <c r="C80" s="488" t="s">
        <v>89</v>
      </c>
    </row>
    <row r="81" spans="1:3" ht="25.5" x14ac:dyDescent="0.2">
      <c r="A81" s="373" t="s">
        <v>100</v>
      </c>
      <c r="B81" s="375">
        <v>43203</v>
      </c>
      <c r="C81" s="374" t="s">
        <v>101</v>
      </c>
    </row>
    <row r="82" spans="1:3" ht="25.5" x14ac:dyDescent="0.2">
      <c r="A82" s="373" t="s">
        <v>100</v>
      </c>
      <c r="B82" s="375">
        <v>43203</v>
      </c>
      <c r="C82" s="374" t="s">
        <v>102</v>
      </c>
    </row>
    <row r="83" spans="1:3" x14ac:dyDescent="0.2">
      <c r="A83" s="373" t="s">
        <v>100</v>
      </c>
      <c r="B83" s="375">
        <v>43203</v>
      </c>
      <c r="C83" s="374" t="s">
        <v>103</v>
      </c>
    </row>
    <row r="84" spans="1:3" ht="38.25" x14ac:dyDescent="0.2">
      <c r="A84" s="373" t="s">
        <v>100</v>
      </c>
      <c r="B84" s="375">
        <v>43203</v>
      </c>
      <c r="C84" s="374" t="s">
        <v>104</v>
      </c>
    </row>
    <row r="85" spans="1:3" ht="25.5" x14ac:dyDescent="0.2">
      <c r="A85" s="373" t="s">
        <v>100</v>
      </c>
      <c r="B85" s="375">
        <v>43268</v>
      </c>
      <c r="C85" s="374" t="s">
        <v>105</v>
      </c>
    </row>
    <row r="86" spans="1:3" x14ac:dyDescent="0.2">
      <c r="A86" s="373" t="s">
        <v>100</v>
      </c>
      <c r="B86" s="375">
        <v>43403</v>
      </c>
      <c r="C86" s="374" t="s">
        <v>106</v>
      </c>
    </row>
    <row r="87" spans="1:3" x14ac:dyDescent="0.2">
      <c r="A87" s="373" t="s">
        <v>100</v>
      </c>
      <c r="B87" s="375">
        <v>43403</v>
      </c>
      <c r="C87" s="374" t="s">
        <v>107</v>
      </c>
    </row>
    <row r="88" spans="1:3" x14ac:dyDescent="0.2">
      <c r="A88" s="373" t="s">
        <v>100</v>
      </c>
      <c r="B88" s="375">
        <v>43403</v>
      </c>
      <c r="C88" s="374" t="s">
        <v>108</v>
      </c>
    </row>
    <row r="89" spans="1:3" x14ac:dyDescent="0.2">
      <c r="A89" s="373" t="s">
        <v>100</v>
      </c>
      <c r="B89" s="375">
        <v>43403</v>
      </c>
      <c r="C89" s="260" t="s">
        <v>109</v>
      </c>
    </row>
    <row r="90" spans="1:3" x14ac:dyDescent="0.2">
      <c r="A90" s="373" t="s">
        <v>100</v>
      </c>
      <c r="B90" s="375">
        <v>43500</v>
      </c>
      <c r="C90" s="374" t="s">
        <v>110</v>
      </c>
    </row>
    <row r="91" spans="1:3" ht="25.5" x14ac:dyDescent="0.2">
      <c r="A91" s="373" t="s">
        <v>100</v>
      </c>
      <c r="B91" s="375">
        <v>43670</v>
      </c>
      <c r="C91" s="374" t="s">
        <v>111</v>
      </c>
    </row>
    <row r="92" spans="1:3" x14ac:dyDescent="0.2">
      <c r="A92" s="373" t="s">
        <v>100</v>
      </c>
      <c r="B92" s="375">
        <v>43670</v>
      </c>
      <c r="C92" s="374" t="s">
        <v>112</v>
      </c>
    </row>
    <row r="93" spans="1:3" x14ac:dyDescent="0.2">
      <c r="A93" s="373" t="s">
        <v>100</v>
      </c>
      <c r="B93" s="375">
        <v>43670</v>
      </c>
      <c r="C93" s="374" t="s">
        <v>113</v>
      </c>
    </row>
    <row r="94" spans="1:3" x14ac:dyDescent="0.2">
      <c r="A94" s="373" t="s">
        <v>100</v>
      </c>
      <c r="B94" s="375">
        <v>43697</v>
      </c>
      <c r="C94" s="374" t="s">
        <v>114</v>
      </c>
    </row>
    <row r="95" spans="1:3" ht="25.5" x14ac:dyDescent="0.2">
      <c r="A95" s="373" t="s">
        <v>100</v>
      </c>
      <c r="B95" s="375">
        <v>43713</v>
      </c>
      <c r="C95" s="374" t="s">
        <v>115</v>
      </c>
    </row>
    <row r="96" spans="1:3" x14ac:dyDescent="0.2">
      <c r="A96" s="373" t="s">
        <v>100</v>
      </c>
      <c r="B96" s="375">
        <v>43727</v>
      </c>
      <c r="C96" s="374" t="s">
        <v>116</v>
      </c>
    </row>
    <row r="97" spans="1:3" ht="25.5" x14ac:dyDescent="0.2">
      <c r="A97" s="373" t="s">
        <v>100</v>
      </c>
      <c r="B97" s="375">
        <v>43727</v>
      </c>
      <c r="C97" s="374" t="s">
        <v>117</v>
      </c>
    </row>
    <row r="98" spans="1:3" x14ac:dyDescent="0.2">
      <c r="A98" s="486" t="s">
        <v>118</v>
      </c>
      <c r="B98" s="487">
        <v>43738</v>
      </c>
      <c r="C98" s="488" t="s">
        <v>89</v>
      </c>
    </row>
    <row r="99" spans="1:3" ht="51" x14ac:dyDescent="0.2">
      <c r="A99" s="373" t="s">
        <v>1118</v>
      </c>
      <c r="B99" s="375">
        <v>43923</v>
      </c>
      <c r="C99" s="374" t="s">
        <v>1119</v>
      </c>
    </row>
    <row r="100" spans="1:3" x14ac:dyDescent="0.2">
      <c r="A100" s="373"/>
      <c r="B100" s="375"/>
      <c r="C100" s="374"/>
    </row>
    <row r="101" spans="1:3" x14ac:dyDescent="0.2">
      <c r="A101" s="373"/>
      <c r="B101" s="375"/>
      <c r="C101" s="374"/>
    </row>
    <row r="102" spans="1:3" x14ac:dyDescent="0.2">
      <c r="A102" s="373"/>
      <c r="B102" s="375"/>
      <c r="C102" s="374"/>
    </row>
    <row r="103" spans="1:3" x14ac:dyDescent="0.2">
      <c r="A103" s="373"/>
      <c r="B103" s="375"/>
      <c r="C103" s="374"/>
    </row>
    <row r="104" spans="1:3" x14ac:dyDescent="0.2">
      <c r="A104" s="209"/>
      <c r="B104" s="261"/>
      <c r="C104" s="250"/>
    </row>
    <row r="105" spans="1:3" x14ac:dyDescent="0.2">
      <c r="A105" s="209"/>
      <c r="B105" s="261"/>
      <c r="C105" s="250" t="s">
        <v>119</v>
      </c>
    </row>
    <row r="106" spans="1:3" x14ac:dyDescent="0.2">
      <c r="A106" s="209"/>
      <c r="B106" s="261"/>
      <c r="C106" s="250" t="s">
        <v>120</v>
      </c>
    </row>
    <row r="107" spans="1:3" x14ac:dyDescent="0.2">
      <c r="A107" s="209"/>
      <c r="B107" s="261"/>
      <c r="C107" s="250" t="s">
        <v>121</v>
      </c>
    </row>
    <row r="108" spans="1:3" x14ac:dyDescent="0.2">
      <c r="A108" s="209"/>
      <c r="B108" s="261"/>
      <c r="C108" s="250" t="s">
        <v>122</v>
      </c>
    </row>
    <row r="109" spans="1:3" x14ac:dyDescent="0.2">
      <c r="A109" s="581" t="s">
        <v>1120</v>
      </c>
      <c r="B109" s="582">
        <v>44259</v>
      </c>
      <c r="C109" s="583" t="s">
        <v>1121</v>
      </c>
    </row>
    <row r="110" spans="1:3" ht="25.5" x14ac:dyDescent="0.2">
      <c r="A110" s="584" t="s">
        <v>1122</v>
      </c>
      <c r="B110" s="585">
        <v>44301</v>
      </c>
      <c r="C110" s="586" t="s">
        <v>1123</v>
      </c>
    </row>
    <row r="111" spans="1:3" ht="38.25" x14ac:dyDescent="0.2">
      <c r="A111" s="591" t="s">
        <v>1125</v>
      </c>
      <c r="B111" s="589">
        <v>44424</v>
      </c>
      <c r="C111" s="590" t="s">
        <v>1124</v>
      </c>
    </row>
    <row r="112" spans="1:3" x14ac:dyDescent="0.2">
      <c r="A112" s="209"/>
      <c r="B112" s="261"/>
      <c r="C112" s="250"/>
    </row>
    <row r="113" spans="1:3" x14ac:dyDescent="0.2">
      <c r="A113" s="209"/>
      <c r="B113" s="261"/>
      <c r="C113" s="250"/>
    </row>
    <row r="114" spans="1:3" x14ac:dyDescent="0.2">
      <c r="A114" s="209"/>
      <c r="B114" s="261"/>
      <c r="C114" s="250"/>
    </row>
    <row r="115" spans="1:3" x14ac:dyDescent="0.2">
      <c r="A115" s="209"/>
      <c r="B115" s="261"/>
      <c r="C115" s="250"/>
    </row>
    <row r="116" spans="1:3" x14ac:dyDescent="0.2">
      <c r="A116" s="209"/>
      <c r="B116" s="261"/>
      <c r="C116" s="250"/>
    </row>
    <row r="117" spans="1:3" x14ac:dyDescent="0.2">
      <c r="A117" s="209"/>
      <c r="B117" s="261"/>
      <c r="C117" s="250"/>
    </row>
    <row r="118" spans="1:3" x14ac:dyDescent="0.2">
      <c r="A118" s="209"/>
      <c r="B118" s="261"/>
      <c r="C118" s="250"/>
    </row>
    <row r="119" spans="1:3" x14ac:dyDescent="0.2">
      <c r="A119" s="209"/>
      <c r="B119" s="261"/>
      <c r="C119" s="250"/>
    </row>
  </sheetData>
  <pageMargins left="0.70866141732283472" right="0.70866141732283472" top="0.74803149606299213" bottom="0.74803149606299213" header="0.31496062992125984" footer="0.31496062992125984"/>
  <pageSetup paperSize="9" scale="72" fitToHeight="5" orientation="portrait" horizontalDpi="4294967292"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AP179"/>
  <sheetViews>
    <sheetView topLeftCell="A79" zoomScale="70" zoomScaleNormal="70" workbookViewId="0">
      <selection activeCell="N120" sqref="N120"/>
    </sheetView>
  </sheetViews>
  <sheetFormatPr defaultRowHeight="12.75" x14ac:dyDescent="0.2"/>
  <cols>
    <col min="1" max="1" width="19.28515625" customWidth="1"/>
    <col min="3" max="3" width="11.140625" customWidth="1"/>
    <col min="4" max="4" width="11.5703125" customWidth="1"/>
    <col min="5" max="5" width="10.5703125" customWidth="1"/>
    <col min="6" max="6" width="10.85546875" customWidth="1"/>
    <col min="9" max="9" width="11.85546875" customWidth="1"/>
    <col min="10" max="10" width="13.28515625" customWidth="1"/>
    <col min="14" max="14" width="10" bestFit="1" customWidth="1"/>
    <col min="17" max="19" width="10" customWidth="1"/>
    <col min="28" max="28" width="6.85546875" customWidth="1"/>
  </cols>
  <sheetData>
    <row r="1" spans="1:23" ht="15.75" x14ac:dyDescent="0.25">
      <c r="A1" s="96" t="s">
        <v>764</v>
      </c>
      <c r="F1" s="213" t="s">
        <v>765</v>
      </c>
    </row>
    <row r="2" spans="1:23" x14ac:dyDescent="0.2">
      <c r="B2" s="3"/>
      <c r="W2" s="3"/>
    </row>
    <row r="3" spans="1:23" ht="15" x14ac:dyDescent="0.2">
      <c r="A3" s="632" t="s">
        <v>766</v>
      </c>
      <c r="B3" s="633"/>
      <c r="C3" s="633"/>
      <c r="D3" s="633"/>
      <c r="E3" s="633"/>
      <c r="F3" s="633"/>
    </row>
    <row r="4" spans="1:23" x14ac:dyDescent="0.2">
      <c r="A4" s="3" t="s">
        <v>767</v>
      </c>
      <c r="Q4" s="143" t="s">
        <v>768</v>
      </c>
      <c r="R4" s="137"/>
      <c r="S4" s="137"/>
      <c r="T4" s="137"/>
    </row>
    <row r="5" spans="1:23" ht="15" x14ac:dyDescent="0.2">
      <c r="D5" s="72" t="s">
        <v>769</v>
      </c>
      <c r="E5" s="73"/>
      <c r="F5" s="72" t="s">
        <v>770</v>
      </c>
      <c r="G5" s="73"/>
      <c r="J5" s="641" t="s">
        <v>771</v>
      </c>
      <c r="K5" s="641"/>
      <c r="L5" s="641"/>
      <c r="M5" s="641"/>
      <c r="N5" s="641"/>
      <c r="O5" s="641"/>
      <c r="Q5" s="137"/>
      <c r="R5" s="138"/>
      <c r="S5" s="137"/>
      <c r="T5" s="137"/>
    </row>
    <row r="6" spans="1:23" ht="15" x14ac:dyDescent="0.3">
      <c r="B6" s="10" t="s">
        <v>772</v>
      </c>
      <c r="C6" s="10" t="s">
        <v>773</v>
      </c>
      <c r="D6" s="29" t="s">
        <v>774</v>
      </c>
      <c r="E6" s="29" t="s">
        <v>775</v>
      </c>
      <c r="F6" s="29" t="s">
        <v>776</v>
      </c>
      <c r="G6" s="29" t="s">
        <v>777</v>
      </c>
      <c r="J6" s="640" t="s">
        <v>778</v>
      </c>
      <c r="K6" s="640"/>
      <c r="L6" s="640"/>
      <c r="M6" s="640"/>
      <c r="N6" s="133" t="s">
        <v>779</v>
      </c>
      <c r="O6" s="134"/>
      <c r="Q6" s="159" t="s">
        <v>780</v>
      </c>
      <c r="R6" s="145" t="str">
        <f>Control!D23</f>
        <v>A7</v>
      </c>
      <c r="S6" s="137"/>
      <c r="T6" s="137"/>
    </row>
    <row r="7" spans="1:23" ht="15" x14ac:dyDescent="0.25">
      <c r="B7" s="68" t="s">
        <v>781</v>
      </c>
      <c r="C7" s="68">
        <v>1000</v>
      </c>
      <c r="D7" s="74">
        <v>1</v>
      </c>
      <c r="E7" s="74">
        <v>1</v>
      </c>
      <c r="F7" s="74">
        <v>0.6</v>
      </c>
      <c r="G7" s="74">
        <v>0.6</v>
      </c>
      <c r="J7" s="640"/>
      <c r="K7" s="640"/>
      <c r="L7" s="640"/>
      <c r="M7" s="640"/>
      <c r="N7" s="532" t="s">
        <v>782</v>
      </c>
      <c r="O7" s="532" t="s">
        <v>783</v>
      </c>
      <c r="Q7" s="159" t="s">
        <v>457</v>
      </c>
      <c r="R7" s="145">
        <f>Selected_Line_Reliability</f>
        <v>300</v>
      </c>
      <c r="S7" s="137"/>
      <c r="T7" s="137"/>
    </row>
    <row r="8" spans="1:23" ht="13.9" customHeight="1" x14ac:dyDescent="0.25">
      <c r="B8" s="68" t="s">
        <v>784</v>
      </c>
      <c r="C8" s="68">
        <v>500</v>
      </c>
      <c r="D8" s="74">
        <v>0.97799999999999998</v>
      </c>
      <c r="E8" s="74">
        <v>0.96399999999999997</v>
      </c>
      <c r="F8" s="74">
        <v>0.58699999999999997</v>
      </c>
      <c r="G8" s="74">
        <v>0.57799999999999996</v>
      </c>
      <c r="J8" s="619" t="s">
        <v>785</v>
      </c>
      <c r="K8" s="619"/>
      <c r="L8" s="619"/>
      <c r="M8" s="619"/>
      <c r="N8" s="135">
        <v>1000</v>
      </c>
      <c r="O8" s="135">
        <v>1200</v>
      </c>
      <c r="Q8" s="159" t="s">
        <v>786</v>
      </c>
      <c r="R8" s="145" t="s">
        <v>252</v>
      </c>
      <c r="S8" s="137" t="s">
        <v>787</v>
      </c>
      <c r="T8" s="137"/>
    </row>
    <row r="9" spans="1:23" ht="13.9" customHeight="1" x14ac:dyDescent="0.25">
      <c r="B9" s="68" t="s">
        <v>788</v>
      </c>
      <c r="C9" s="68">
        <v>450</v>
      </c>
      <c r="D9" s="74">
        <v>0.97299999999999998</v>
      </c>
      <c r="E9" s="74">
        <v>0.95899999999999996</v>
      </c>
      <c r="F9" s="74">
        <v>0.58399999999999996</v>
      </c>
      <c r="G9" s="74">
        <v>0.57499999999999996</v>
      </c>
      <c r="J9" s="619" t="s">
        <v>789</v>
      </c>
      <c r="K9" s="619"/>
      <c r="L9" s="619"/>
      <c r="M9" s="619"/>
      <c r="N9" s="135">
        <v>1200</v>
      </c>
      <c r="O9" s="135">
        <v>1600</v>
      </c>
      <c r="Q9" s="159" t="s">
        <v>790</v>
      </c>
      <c r="R9" s="139">
        <f>VLOOKUP(R6,Q37:R39,2,0)</f>
        <v>46</v>
      </c>
      <c r="S9" s="137"/>
      <c r="T9" s="137"/>
    </row>
    <row r="10" spans="1:23" ht="14.25" x14ac:dyDescent="0.25">
      <c r="B10" s="68" t="s">
        <v>791</v>
      </c>
      <c r="C10" s="68">
        <v>400</v>
      </c>
      <c r="D10" s="74">
        <v>0.96699999999999997</v>
      </c>
      <c r="E10" s="74">
        <v>0.95399999999999996</v>
      </c>
      <c r="F10" s="74">
        <v>0.57999999999999996</v>
      </c>
      <c r="G10" s="74">
        <v>0.57199999999999995</v>
      </c>
      <c r="J10" s="619" t="s">
        <v>792</v>
      </c>
      <c r="K10" s="619"/>
      <c r="L10" s="619"/>
      <c r="M10" s="619"/>
      <c r="N10" s="135">
        <v>3000</v>
      </c>
      <c r="O10" s="135">
        <v>4000</v>
      </c>
      <c r="Q10" s="159" t="s">
        <v>793</v>
      </c>
      <c r="R10" s="150">
        <f>INDEX(Ref!$D$7:$E$29,MATCH(Ref!R7,Ref!$C$7:$C$29,0),MATCH(LEFT(R6,1)&amp;"MW",Ref!$D$6:$E$6,0))</f>
        <v>0.95299999999999996</v>
      </c>
      <c r="S10" s="122" t="str">
        <f>"for V"&amp;Selected_Line_Reliability&amp;" years"</f>
        <v>for V300 years</v>
      </c>
      <c r="T10" s="137"/>
    </row>
    <row r="11" spans="1:23" ht="14.45" customHeight="1" thickBot="1" x14ac:dyDescent="0.3">
      <c r="B11" s="69" t="s">
        <v>794</v>
      </c>
      <c r="C11" s="69">
        <v>350</v>
      </c>
      <c r="D11" s="74">
        <v>0.96</v>
      </c>
      <c r="E11" s="74">
        <v>0.94799999999999995</v>
      </c>
      <c r="F11" s="74">
        <v>0.57599999999999996</v>
      </c>
      <c r="G11" s="74">
        <v>0.56899999999999995</v>
      </c>
      <c r="Q11" s="160"/>
      <c r="R11" s="160" t="s">
        <v>645</v>
      </c>
      <c r="S11" s="293" t="s">
        <v>660</v>
      </c>
      <c r="T11" s="137"/>
    </row>
    <row r="12" spans="1:23" ht="14.45" customHeight="1" thickBot="1" x14ac:dyDescent="0.35">
      <c r="B12" s="70" t="s">
        <v>795</v>
      </c>
      <c r="C12" s="70">
        <v>300</v>
      </c>
      <c r="D12" s="74">
        <v>0.95299999999999996</v>
      </c>
      <c r="E12" s="74">
        <v>0.94</v>
      </c>
      <c r="F12" s="74">
        <v>0.57199999999999995</v>
      </c>
      <c r="G12" s="74">
        <v>0.56399999999999995</v>
      </c>
      <c r="J12" s="3" t="s">
        <v>796</v>
      </c>
      <c r="M12" s="3" t="s">
        <v>797</v>
      </c>
      <c r="O12" s="136" t="s">
        <v>798</v>
      </c>
      <c r="Q12" s="371" t="s">
        <v>227</v>
      </c>
      <c r="R12" s="149">
        <f>Selected_Terrain</f>
        <v>2.5</v>
      </c>
      <c r="S12" s="149">
        <f>R12</f>
        <v>2.5</v>
      </c>
      <c r="T12" s="137"/>
    </row>
    <row r="13" spans="1:23" ht="15.75" thickBot="1" x14ac:dyDescent="0.3">
      <c r="B13" s="71" t="s">
        <v>799</v>
      </c>
      <c r="C13" s="71">
        <v>250</v>
      </c>
      <c r="D13" s="74">
        <v>0.94299999999999995</v>
      </c>
      <c r="E13" s="74">
        <v>0.93200000000000005</v>
      </c>
      <c r="F13" s="74">
        <v>0.56599999999999995</v>
      </c>
      <c r="G13" s="74">
        <v>0.55900000000000005</v>
      </c>
      <c r="J13" s="3" t="s">
        <v>800</v>
      </c>
      <c r="M13" s="167">
        <v>2.5</v>
      </c>
      <c r="O13" s="167">
        <f>Selected_Terrain</f>
        <v>2.5</v>
      </c>
      <c r="Q13" s="160" t="s">
        <v>801</v>
      </c>
      <c r="R13" s="564">
        <f>Control!D33</f>
        <v>15</v>
      </c>
      <c r="S13" s="564">
        <f>Control!E33</f>
        <v>30</v>
      </c>
      <c r="T13" s="137"/>
    </row>
    <row r="14" spans="1:23" ht="15" thickBot="1" x14ac:dyDescent="0.3">
      <c r="B14" s="68" t="s">
        <v>802</v>
      </c>
      <c r="C14" s="68">
        <v>200</v>
      </c>
      <c r="D14" s="74">
        <v>0.93200000000000005</v>
      </c>
      <c r="E14" s="74">
        <v>0.92200000000000004</v>
      </c>
      <c r="F14" s="74">
        <v>0.55900000000000005</v>
      </c>
      <c r="G14" s="74">
        <v>0.55300000000000005</v>
      </c>
      <c r="J14" s="3" t="s">
        <v>803</v>
      </c>
      <c r="M14" s="167">
        <v>15</v>
      </c>
      <c r="N14" s="3" t="s">
        <v>646</v>
      </c>
      <c r="O14" s="167">
        <f>Avg_Cond_Height</f>
        <v>30</v>
      </c>
      <c r="Q14" s="371" t="s">
        <v>804</v>
      </c>
      <c r="R14" s="139">
        <v>1</v>
      </c>
      <c r="S14" s="139">
        <v>1</v>
      </c>
      <c r="T14" s="137"/>
    </row>
    <row r="15" spans="1:23" ht="14.45" customHeight="1" thickBot="1" x14ac:dyDescent="0.35">
      <c r="B15" s="70" t="s">
        <v>805</v>
      </c>
      <c r="C15" s="70">
        <v>150</v>
      </c>
      <c r="D15" s="74">
        <v>0.91600000000000004</v>
      </c>
      <c r="E15" s="74">
        <v>0.90800000000000003</v>
      </c>
      <c r="F15" s="74">
        <v>0.55000000000000004</v>
      </c>
      <c r="G15" s="74">
        <v>0.54500000000000004</v>
      </c>
      <c r="N15" s="3" t="s">
        <v>806</v>
      </c>
      <c r="O15" s="167">
        <f>Control!D33</f>
        <v>15</v>
      </c>
      <c r="Q15" s="371" t="s">
        <v>807</v>
      </c>
      <c r="R15" s="144">
        <f>IFERROR(ROUND(IF(FLOOR(R12,0.5)=1,0.000000000016653782*R13^5 - 0.0000000093323205*R13^4 + 0.0000019642957*R13^3 - 0.00019638184*R13^2 + 0.01008394*R13 + 1.0465916,IF(FLOOR(R12,0.5)=1.5,0.000000000014390483*R13^5 - 0.0000000082370939*R13^4 + 0.0000017967799*R13^3 - 0.00019064559*R13^2 + 0.010765535*R13 + 0.9778649,IF(FLOOR(R12,0.5)=2,0.000000000012127184*R13^5 - 0.0000000071418672*R13^4 + 0.0000016292642*R13^3 - 0.00018490934*R13^2 + 0.01144713*R13 + 0.90913818,IF(FLOOR(R12,0.5)=2.5,-0.00000000087293471*R13^4 + 0.00000046916952*R13^3 - 0.000093539082*R13^2 + 0.0089617204*R13 + 0.8577943,IF(FLOOR(R12,0.5)=3,MAX(0.83,-4.1623824E-13*R13^6 + 0.00000000026322234*R13^5 - 0.000000065751642*R13^4 + 0.0000083406304*R13^3 - 0.00057915308*R13^2 + 0.023218815*R13 + 0.64804188),IF(FLOOR(R12,0.5)=3.5,MAX(0.79,-0.00000000046717932*R13^4 + 0.000000273251*R13^3 - 0.000063168828*R13^2 + 0.0078669791*R13 + 0.71494216),IF(FLOOR(R12,0.5)=4,MAX(0.75,-0.0000000003700896*R13^4 + 0.00000023522283*R13^3 - 0.000059865035*R13^2 + 0.0083118825*R13 + 0.6027322
),"ERR"))))))),2),0)</f>
        <v>0.97</v>
      </c>
      <c r="S15" s="144">
        <f>IFERROR(ROUND(IF(FLOOR(S12,0.5)=1,0.000000000016653782*S13^5 - 0.0000000093323205*S13^4 + 0.0000019642957*S13^3 - 0.00019638184*S13^2 + 0.01008394*S13 + 1.0465916,IF(FLOOR(S12,0.5)=1.5,0.000000000014390483*S13^5 - 0.0000000082370939*S13^4 + 0.0000017967799*S13^3 - 0.00019064559*S13^2 + 0.010765535*S13 + 0.9778649,IF(FLOOR(S12,0.5)=2,0.000000000012127184*S13^5 - 0.0000000071418672*S13^4 + 0.0000016292642*S13^3 - 0.00018490934*S13^2 + 0.01144713*S13 + 0.90913818,IF(FLOOR(S12,0.5)=2.5,-0.00000000087293471*S13^4 + 0.00000046916952*S13^3 - 0.000093539082*S13^2 + 0.0089617204*S13 + 0.8577943,IF(FLOOR(S12,0.5)=3,MAX(0.83,-4.1623824E-13*S13^6 + 0.00000000026322234*S13^5 - 0.000000065751642*S13^4 + 0.0000083406304*S13^3 - 0.00057915308*S13^2 + 0.023218815*S13 + 0.64804188),IF(FLOOR(S12,0.5)=3.5,MAX(0.79,-0.00000000046717932*S13^4 + 0.000000273251*S13^3 - 0.000063168828*S13^2 + 0.0078669791*S13 + 0.71494216),IF(FLOOR(S12,0.5)=4,MAX(0.75,-0.0000000003700896*S13^4 + 0.00000023522283*S13^3 - 0.000059865035*S13^2 + 0.0083118825*S13 + 0.6027322
),"ERR"))))))),2),0)</f>
        <v>1.05</v>
      </c>
      <c r="T15" s="137"/>
    </row>
    <row r="16" spans="1:23" ht="13.9" customHeight="1" x14ac:dyDescent="0.25">
      <c r="B16" s="71" t="s">
        <v>808</v>
      </c>
      <c r="C16" s="71">
        <v>100</v>
      </c>
      <c r="D16" s="74">
        <v>0.89400000000000002</v>
      </c>
      <c r="E16" s="74">
        <v>0.88900000000000001</v>
      </c>
      <c r="F16" s="74">
        <v>0.53600000000000003</v>
      </c>
      <c r="G16" s="74">
        <v>0.53300000000000003</v>
      </c>
      <c r="J16" s="3" t="s">
        <v>809</v>
      </c>
      <c r="M16" s="167">
        <v>150</v>
      </c>
      <c r="O16" s="167">
        <f>Selected_Line_Reliability</f>
        <v>300</v>
      </c>
      <c r="Q16" s="371" t="s">
        <v>810</v>
      </c>
      <c r="R16" s="139">
        <f>Control!D35</f>
        <v>1</v>
      </c>
      <c r="S16" s="139">
        <f>Control!E35</f>
        <v>1</v>
      </c>
      <c r="T16" s="137"/>
    </row>
    <row r="17" spans="2:20" ht="13.9" customHeight="1" x14ac:dyDescent="0.25">
      <c r="B17" s="71" t="s">
        <v>811</v>
      </c>
      <c r="C17" s="71">
        <v>75</v>
      </c>
      <c r="D17" s="74">
        <v>0.878</v>
      </c>
      <c r="E17" s="74">
        <v>0.875</v>
      </c>
      <c r="F17" s="74">
        <v>0.52700000000000002</v>
      </c>
      <c r="G17" s="74">
        <v>0.52500000000000002</v>
      </c>
      <c r="J17" s="3" t="s">
        <v>812</v>
      </c>
      <c r="M17" s="167">
        <v>0.25</v>
      </c>
      <c r="Q17" s="371" t="str">
        <f>"V(rp"&amp;R7&amp;",z="&amp;R13&amp;",cat="&amp;R12&amp;")"</f>
        <v>V(rp300,z=15,cat=2.5)</v>
      </c>
      <c r="R17" s="140">
        <f>$R$9*$R$10*$R$14*$R$15*$R$16</f>
        <v>42.522860000000001</v>
      </c>
      <c r="S17" s="140">
        <f>$R$9*$R$10*$S$14*$S$15*$S$16</f>
        <v>46.029900000000005</v>
      </c>
      <c r="T17" s="141" t="s">
        <v>663</v>
      </c>
    </row>
    <row r="18" spans="2:20" ht="13.5" x14ac:dyDescent="0.25">
      <c r="B18" s="68" t="s">
        <v>813</v>
      </c>
      <c r="C18" s="68">
        <v>50</v>
      </c>
      <c r="D18" s="74">
        <v>0.85399999999999998</v>
      </c>
      <c r="E18" s="74">
        <v>0.85499999999999998</v>
      </c>
      <c r="F18" s="74">
        <v>0.51200000000000001</v>
      </c>
      <c r="G18" s="74">
        <v>0.51300000000000001</v>
      </c>
      <c r="Q18" s="371" t="str">
        <f>"P(rp"&amp;$R$7&amp;",z="&amp;$R$13&amp;",cat="&amp;$R$12&amp;")"</f>
        <v>P(rp300,z=15,cat=2.5)</v>
      </c>
      <c r="R18" s="142">
        <f>0.6*R17^2</f>
        <v>1084.9161735477601</v>
      </c>
      <c r="S18" s="142">
        <f>0.6*S17^2</f>
        <v>1271.2510164060002</v>
      </c>
      <c r="T18" s="137" t="s">
        <v>814</v>
      </c>
    </row>
    <row r="19" spans="2:20" ht="14.25" x14ac:dyDescent="0.25">
      <c r="B19" s="68" t="s">
        <v>815</v>
      </c>
      <c r="C19" s="68">
        <v>40</v>
      </c>
      <c r="D19" s="74">
        <v>0.84</v>
      </c>
      <c r="E19" s="74">
        <v>0.84399999999999997</v>
      </c>
      <c r="F19" s="74">
        <v>0.504</v>
      </c>
      <c r="G19" s="74">
        <v>0.50600000000000001</v>
      </c>
      <c r="Q19" s="371" t="s">
        <v>816</v>
      </c>
      <c r="R19" s="150">
        <f>INDEX(Ref!$D$7:$E$40,MATCH(1/12,Ref!$C$7:$C$40,0),MATCH(LEFT(R6,1)&amp;"MW",Ref!$D$6:$E$6,0))</f>
        <v>0.314</v>
      </c>
      <c r="S19" s="150">
        <f>R19</f>
        <v>0.314</v>
      </c>
      <c r="T19" s="137" t="s">
        <v>817</v>
      </c>
    </row>
    <row r="20" spans="2:20" ht="13.9" customHeight="1" x14ac:dyDescent="0.25">
      <c r="B20" s="68" t="s">
        <v>818</v>
      </c>
      <c r="C20" s="68">
        <v>30</v>
      </c>
      <c r="D20" s="74">
        <v>0.82199999999999995</v>
      </c>
      <c r="E20" s="74">
        <v>0.82899999999999996</v>
      </c>
      <c r="F20" s="74">
        <v>0.49299999999999999</v>
      </c>
      <c r="G20" s="74">
        <v>0.497</v>
      </c>
      <c r="Q20" s="371" t="str">
        <f>"V(rp1m,z="&amp;$R$13&amp;",cat="&amp;$R$12&amp;")"</f>
        <v>V(rp1m,z=15,cat=2.5)</v>
      </c>
      <c r="R20" s="140">
        <f>$R$9*$R$19*$R$14*$R$15*$R$16</f>
        <v>14.010680000000001</v>
      </c>
      <c r="S20" s="140">
        <f>$R$9*$S$19*$S$14*$S$15*$S$16</f>
        <v>15.166200000000002</v>
      </c>
      <c r="T20" s="137"/>
    </row>
    <row r="21" spans="2:20" ht="13.9" customHeight="1" x14ac:dyDescent="0.25">
      <c r="B21" s="68" t="s">
        <v>819</v>
      </c>
      <c r="C21" s="68">
        <v>25</v>
      </c>
      <c r="D21" s="74">
        <v>0.81100000000000005</v>
      </c>
      <c r="E21" s="74">
        <v>0.82</v>
      </c>
      <c r="F21" s="74">
        <v>0.48599999999999999</v>
      </c>
      <c r="G21" s="74">
        <v>0.49199999999999999</v>
      </c>
      <c r="Q21" s="371" t="str">
        <f>"P(rp1m,z="&amp;$R$13&amp;",cat="&amp;$R$12&amp;")"</f>
        <v>P(rp1m,z=15,cat=2.5)</v>
      </c>
      <c r="R21" s="142">
        <f>0.6*R20^2</f>
        <v>117.77949243744001</v>
      </c>
      <c r="S21" s="142">
        <f>0.6*S20^2</f>
        <v>138.00817346400004</v>
      </c>
      <c r="T21" s="137"/>
    </row>
    <row r="22" spans="2:20" ht="13.9" customHeight="1" thickBot="1" x14ac:dyDescent="0.3">
      <c r="B22" s="68" t="s">
        <v>820</v>
      </c>
      <c r="C22" s="68">
        <v>20</v>
      </c>
      <c r="D22" s="74">
        <v>0.79600000000000004</v>
      </c>
      <c r="E22" s="74">
        <v>0.80800000000000005</v>
      </c>
      <c r="F22" s="74">
        <v>0.47799999999999998</v>
      </c>
      <c r="G22" s="74">
        <v>0.48499999999999999</v>
      </c>
      <c r="Q22" s="371" t="s">
        <v>821</v>
      </c>
      <c r="R22" s="369">
        <f>R18/2</f>
        <v>542.45808677388004</v>
      </c>
      <c r="S22" s="369">
        <f>S18/2</f>
        <v>635.62550820300009</v>
      </c>
      <c r="T22" s="137" t="s">
        <v>814</v>
      </c>
    </row>
    <row r="23" spans="2:20" ht="14.25" thickBot="1" x14ac:dyDescent="0.3">
      <c r="B23" s="68" t="s">
        <v>822</v>
      </c>
      <c r="C23" s="68">
        <v>15</v>
      </c>
      <c r="D23" s="74">
        <v>0.77700000000000002</v>
      </c>
      <c r="E23" s="74">
        <v>0.79300000000000004</v>
      </c>
      <c r="F23" s="74">
        <v>0.46600000000000003</v>
      </c>
      <c r="G23" s="74">
        <v>0.47599999999999998</v>
      </c>
      <c r="Q23" s="372" t="str">
        <f>"V(rp1000,z="&amp;R13&amp;",cat="&amp;R12&amp;")"</f>
        <v>V(rp1000,z=15,cat=2.5)</v>
      </c>
      <c r="R23" s="370">
        <f>ROUNDUP(R17/$R$10,0)</f>
        <v>45</v>
      </c>
      <c r="S23" s="370">
        <f>ROUNDUP(S17/$R$10,0)</f>
        <v>49</v>
      </c>
      <c r="T23" s="137"/>
    </row>
    <row r="24" spans="2:20" ht="13.5" x14ac:dyDescent="0.25">
      <c r="B24" s="68" t="s">
        <v>823</v>
      </c>
      <c r="C24" s="68">
        <v>10</v>
      </c>
      <c r="D24" s="74">
        <v>0.749</v>
      </c>
      <c r="E24" s="74">
        <v>0.77200000000000002</v>
      </c>
      <c r="F24" s="74">
        <v>0.44900000000000001</v>
      </c>
      <c r="G24" s="74">
        <v>0.46300000000000002</v>
      </c>
      <c r="Q24" s="160"/>
      <c r="R24" s="137"/>
      <c r="S24" s="137"/>
      <c r="T24" s="137"/>
    </row>
    <row r="25" spans="2:20" ht="13.5" x14ac:dyDescent="0.25">
      <c r="B25" s="68" t="s">
        <v>824</v>
      </c>
      <c r="C25" s="68">
        <v>5</v>
      </c>
      <c r="D25" s="74">
        <v>0.69799999999999995</v>
      </c>
      <c r="E25" s="74">
        <v>0.73399999999999999</v>
      </c>
      <c r="F25" s="74">
        <v>0.41899999999999998</v>
      </c>
      <c r="G25" s="74">
        <v>0.44</v>
      </c>
      <c r="Q25" s="161" t="s">
        <v>825</v>
      </c>
      <c r="R25" s="147" t="s">
        <v>630</v>
      </c>
      <c r="S25" s="147" t="s">
        <v>826</v>
      </c>
      <c r="T25" s="147" t="s">
        <v>783</v>
      </c>
    </row>
    <row r="26" spans="2:20" ht="13.9" customHeight="1" x14ac:dyDescent="0.25">
      <c r="B26" s="68" t="s">
        <v>827</v>
      </c>
      <c r="C26" s="68">
        <v>4</v>
      </c>
      <c r="D26" s="74">
        <v>0.68100000000000005</v>
      </c>
      <c r="E26" s="74">
        <v>0.72099999999999997</v>
      </c>
      <c r="F26" s="74">
        <v>0.40799999999999997</v>
      </c>
      <c r="G26" s="74">
        <v>0.433</v>
      </c>
      <c r="Q26" s="146" t="s">
        <v>252</v>
      </c>
      <c r="R26" s="148">
        <v>1</v>
      </c>
      <c r="S26" s="148">
        <v>1</v>
      </c>
      <c r="T26" s="148">
        <v>1</v>
      </c>
    </row>
    <row r="27" spans="2:20" ht="13.5" x14ac:dyDescent="0.25">
      <c r="B27" s="68" t="s">
        <v>828</v>
      </c>
      <c r="C27" s="68">
        <v>3</v>
      </c>
      <c r="D27" s="74">
        <v>0.65800000000000003</v>
      </c>
      <c r="E27" s="74">
        <v>0.70499999999999996</v>
      </c>
      <c r="F27" s="74">
        <v>0.39500000000000002</v>
      </c>
      <c r="G27" s="74">
        <v>0.42299999999999999</v>
      </c>
      <c r="Q27" s="146" t="s">
        <v>608</v>
      </c>
      <c r="R27" s="148">
        <v>0.85</v>
      </c>
      <c r="S27" s="148">
        <v>0.9</v>
      </c>
      <c r="T27" s="148">
        <v>1</v>
      </c>
    </row>
    <row r="28" spans="2:20" ht="15" x14ac:dyDescent="0.25">
      <c r="B28" s="68" t="s">
        <v>829</v>
      </c>
      <c r="C28" s="68">
        <v>2</v>
      </c>
      <c r="D28" s="74">
        <v>0.625</v>
      </c>
      <c r="E28" s="74">
        <v>0.68200000000000005</v>
      </c>
      <c r="F28" s="74">
        <v>0.375</v>
      </c>
      <c r="G28" s="74">
        <v>0.40899999999999997</v>
      </c>
      <c r="I28" s="213" t="s">
        <v>765</v>
      </c>
      <c r="Q28" s="146" t="s">
        <v>830</v>
      </c>
      <c r="R28" s="148">
        <v>0.95</v>
      </c>
      <c r="S28" s="148">
        <v>0.9</v>
      </c>
      <c r="T28" s="148">
        <v>0.95</v>
      </c>
    </row>
    <row r="29" spans="2:20" ht="13.5" x14ac:dyDescent="0.25">
      <c r="B29" s="68" t="s">
        <v>831</v>
      </c>
      <c r="C29" s="68">
        <v>1</v>
      </c>
      <c r="D29" s="74">
        <v>0.56499999999999995</v>
      </c>
      <c r="E29" s="74">
        <v>0.64200000000000002</v>
      </c>
      <c r="F29" s="74">
        <v>0.33900000000000002</v>
      </c>
      <c r="G29" s="74">
        <v>0.38500000000000001</v>
      </c>
      <c r="Q29" s="146" t="s">
        <v>88</v>
      </c>
      <c r="R29" s="148">
        <v>1</v>
      </c>
      <c r="S29" s="148">
        <v>0.8</v>
      </c>
      <c r="T29" s="148">
        <v>0.8</v>
      </c>
    </row>
    <row r="30" spans="2:20" ht="13.5" x14ac:dyDescent="0.25">
      <c r="B30" s="68" t="s">
        <v>832</v>
      </c>
      <c r="C30" s="68">
        <v>0.75</v>
      </c>
      <c r="D30" s="74">
        <v>0.53900000000000003</v>
      </c>
      <c r="E30" s="74">
        <v>0.624</v>
      </c>
      <c r="F30" s="74">
        <v>0.32400000000000001</v>
      </c>
      <c r="G30" s="74">
        <v>0.375</v>
      </c>
      <c r="Q30" s="146" t="s">
        <v>833</v>
      </c>
      <c r="R30" s="148">
        <v>0.95</v>
      </c>
      <c r="S30" s="148">
        <v>0.9</v>
      </c>
      <c r="T30" s="148">
        <v>0.9</v>
      </c>
    </row>
    <row r="31" spans="2:20" ht="13.5" x14ac:dyDescent="0.25">
      <c r="B31" s="68" t="s">
        <v>834</v>
      </c>
      <c r="C31" s="68">
        <v>0.5</v>
      </c>
      <c r="D31" s="74">
        <v>0.501</v>
      </c>
      <c r="E31" s="74">
        <v>0.6</v>
      </c>
      <c r="F31" s="74">
        <v>0.30099999999999999</v>
      </c>
      <c r="G31" s="74">
        <v>0.36</v>
      </c>
      <c r="Q31" s="146" t="s">
        <v>633</v>
      </c>
      <c r="R31" s="148">
        <v>0.85</v>
      </c>
      <c r="S31" s="148">
        <v>0.9</v>
      </c>
      <c r="T31" s="148">
        <v>1</v>
      </c>
    </row>
    <row r="32" spans="2:20" ht="13.5" x14ac:dyDescent="0.25">
      <c r="B32" s="68" t="s">
        <v>835</v>
      </c>
      <c r="C32" s="82">
        <f>5/12</f>
        <v>0.41666666666666669</v>
      </c>
      <c r="D32" s="74">
        <v>0.48399999999999999</v>
      </c>
      <c r="E32" s="74">
        <v>0.58799999999999997</v>
      </c>
      <c r="F32" s="74">
        <v>0.28999999999999998</v>
      </c>
      <c r="G32" s="74">
        <v>0.35299999999999998</v>
      </c>
      <c r="Q32" s="146" t="s">
        <v>836</v>
      </c>
      <c r="R32" s="148">
        <v>0.95</v>
      </c>
      <c r="S32" s="148">
        <v>0.9</v>
      </c>
      <c r="T32" s="148">
        <v>1</v>
      </c>
    </row>
    <row r="33" spans="1:20" ht="13.5" x14ac:dyDescent="0.25">
      <c r="B33" s="68" t="s">
        <v>837</v>
      </c>
      <c r="C33" s="82">
        <f>3/12</f>
        <v>0.25</v>
      </c>
      <c r="D33" s="74">
        <v>0.433</v>
      </c>
      <c r="E33" s="74">
        <v>0.55600000000000005</v>
      </c>
      <c r="F33" s="74">
        <v>0.26</v>
      </c>
      <c r="G33" s="74">
        <v>0.33400000000000002</v>
      </c>
      <c r="Q33" s="146" t="s">
        <v>783</v>
      </c>
      <c r="R33" s="148">
        <v>1</v>
      </c>
      <c r="S33" s="148">
        <v>1</v>
      </c>
      <c r="T33" s="148">
        <v>0.9</v>
      </c>
    </row>
    <row r="34" spans="1:20" ht="13.5" x14ac:dyDescent="0.25">
      <c r="B34" s="68" t="s">
        <v>838</v>
      </c>
      <c r="C34" s="82">
        <f>2/12</f>
        <v>0.16666666666666666</v>
      </c>
      <c r="D34" s="74">
        <v>0.39</v>
      </c>
      <c r="E34" s="74">
        <v>0.53100000000000003</v>
      </c>
      <c r="F34" s="74">
        <v>0.23400000000000001</v>
      </c>
      <c r="G34" s="74">
        <v>0.318</v>
      </c>
      <c r="Q34" s="146" t="s">
        <v>839</v>
      </c>
      <c r="R34" s="148">
        <v>0.95</v>
      </c>
      <c r="S34" s="148">
        <v>1</v>
      </c>
      <c r="T34" s="148">
        <v>0.95</v>
      </c>
    </row>
    <row r="35" spans="1:20" ht="13.5" x14ac:dyDescent="0.25">
      <c r="B35" s="68" t="s">
        <v>840</v>
      </c>
      <c r="C35" s="82">
        <f>1/12</f>
        <v>8.3333333333333329E-2</v>
      </c>
      <c r="D35" s="74">
        <v>0.314</v>
      </c>
      <c r="E35" s="74">
        <v>0.48499999999999999</v>
      </c>
      <c r="F35" s="74">
        <v>0.188</v>
      </c>
      <c r="G35" s="74">
        <v>0.29099999999999998</v>
      </c>
      <c r="Q35" s="137"/>
      <c r="R35" s="137"/>
      <c r="S35" s="137"/>
      <c r="T35" s="137"/>
    </row>
    <row r="36" spans="1:20" ht="14.25" x14ac:dyDescent="0.25">
      <c r="B36" s="68" t="s">
        <v>841</v>
      </c>
      <c r="C36" s="82">
        <f>3/52</f>
        <v>5.7692307692307696E-2</v>
      </c>
      <c r="D36" s="74">
        <v>0.27100000000000002</v>
      </c>
      <c r="E36" s="74">
        <v>0.46100000000000002</v>
      </c>
      <c r="F36" s="74">
        <v>0.16300000000000001</v>
      </c>
      <c r="G36" s="74">
        <v>0.27600000000000002</v>
      </c>
      <c r="Q36" s="146" t="s">
        <v>842</v>
      </c>
      <c r="R36" s="147" t="s">
        <v>843</v>
      </c>
      <c r="S36" s="137"/>
      <c r="T36" s="137"/>
    </row>
    <row r="37" spans="1:20" ht="13.5" x14ac:dyDescent="0.25">
      <c r="B37" s="68" t="s">
        <v>844</v>
      </c>
      <c r="C37" s="82">
        <f>2/52</f>
        <v>3.8461538461538464E-2</v>
      </c>
      <c r="D37" s="74">
        <v>0.222</v>
      </c>
      <c r="E37" s="74">
        <v>0.433</v>
      </c>
      <c r="F37" s="74">
        <v>0.13300000000000001</v>
      </c>
      <c r="G37" s="74">
        <v>0.26</v>
      </c>
      <c r="Q37" s="146" t="s">
        <v>630</v>
      </c>
      <c r="R37" s="148">
        <v>46</v>
      </c>
      <c r="S37" s="137"/>
      <c r="T37" s="137"/>
    </row>
    <row r="38" spans="1:20" ht="13.5" x14ac:dyDescent="0.25">
      <c r="B38" s="68" t="s">
        <v>845</v>
      </c>
      <c r="C38" s="82">
        <f>1/52</f>
        <v>1.9230769230769232E-2</v>
      </c>
      <c r="D38" s="74">
        <v>0.13300000000000001</v>
      </c>
      <c r="E38" s="74">
        <v>0.38400000000000001</v>
      </c>
      <c r="F38" s="74">
        <v>0.08</v>
      </c>
      <c r="G38" s="74">
        <v>0.23100000000000001</v>
      </c>
      <c r="Q38" s="146" t="s">
        <v>826</v>
      </c>
      <c r="R38" s="148">
        <v>46</v>
      </c>
      <c r="S38" s="137"/>
      <c r="T38" s="137"/>
    </row>
    <row r="39" spans="1:20" ht="13.5" x14ac:dyDescent="0.25">
      <c r="B39" s="68" t="s">
        <v>846</v>
      </c>
      <c r="C39" s="82">
        <f>4/365</f>
        <v>1.0958904109589041E-2</v>
      </c>
      <c r="D39" s="74">
        <v>5.7000000000000002E-2</v>
      </c>
      <c r="E39" s="74">
        <v>0.34399999999999997</v>
      </c>
      <c r="F39" s="74">
        <v>3.4000000000000002E-2</v>
      </c>
      <c r="G39" s="74">
        <v>0.20599999999999999</v>
      </c>
      <c r="Q39" s="146" t="s">
        <v>783</v>
      </c>
      <c r="R39" s="148">
        <v>53</v>
      </c>
      <c r="S39" s="137"/>
      <c r="T39" s="137"/>
    </row>
    <row r="40" spans="1:20" ht="13.5" x14ac:dyDescent="0.25">
      <c r="B40" s="68" t="s">
        <v>847</v>
      </c>
      <c r="C40" s="82">
        <f>1/365</f>
        <v>2.7397260273972603E-3</v>
      </c>
      <c r="D40" s="75" t="s">
        <v>22</v>
      </c>
      <c r="E40" s="74">
        <v>0.24</v>
      </c>
      <c r="F40" s="75" t="s">
        <v>22</v>
      </c>
      <c r="G40" s="74">
        <v>0.14399999999999999</v>
      </c>
    </row>
    <row r="41" spans="1:20" ht="13.5" x14ac:dyDescent="0.25">
      <c r="A41" s="9"/>
      <c r="B41" s="66"/>
      <c r="C41" s="12"/>
      <c r="D41" s="11"/>
      <c r="E41" s="12"/>
      <c r="F41" s="11"/>
    </row>
    <row r="42" spans="1:20" ht="15" x14ac:dyDescent="0.2">
      <c r="A42" s="17" t="s">
        <v>848</v>
      </c>
    </row>
    <row r="43" spans="1:20" ht="15" x14ac:dyDescent="0.25">
      <c r="A43" s="3" t="s">
        <v>849</v>
      </c>
      <c r="C43" s="3" t="s">
        <v>850</v>
      </c>
      <c r="P43" s="213" t="s">
        <v>765</v>
      </c>
    </row>
    <row r="44" spans="1:20" x14ac:dyDescent="0.2">
      <c r="A44" s="24" t="s">
        <v>851</v>
      </c>
      <c r="B44" s="7">
        <v>1</v>
      </c>
      <c r="C44" s="3" t="s">
        <v>852</v>
      </c>
    </row>
    <row r="45" spans="1:20" x14ac:dyDescent="0.2">
      <c r="B45" s="7">
        <v>1.5</v>
      </c>
      <c r="C45" s="3" t="s">
        <v>853</v>
      </c>
    </row>
    <row r="46" spans="1:20" x14ac:dyDescent="0.2">
      <c r="B46" s="7">
        <v>2</v>
      </c>
      <c r="C46" s="3" t="s">
        <v>854</v>
      </c>
    </row>
    <row r="47" spans="1:20" x14ac:dyDescent="0.2">
      <c r="B47" s="7">
        <v>2.5</v>
      </c>
      <c r="C47" s="3" t="s">
        <v>855</v>
      </c>
    </row>
    <row r="48" spans="1:20" x14ac:dyDescent="0.2">
      <c r="B48" s="7">
        <v>3</v>
      </c>
      <c r="C48" s="3" t="s">
        <v>856</v>
      </c>
    </row>
    <row r="49" spans="1:16" x14ac:dyDescent="0.2">
      <c r="B49" s="7">
        <v>3.5</v>
      </c>
      <c r="C49" s="3" t="s">
        <v>857</v>
      </c>
    </row>
    <row r="50" spans="1:16" x14ac:dyDescent="0.2">
      <c r="B50" s="7">
        <v>4</v>
      </c>
      <c r="C50" t="s">
        <v>858</v>
      </c>
      <c r="L50" s="126"/>
      <c r="M50" s="129" t="s">
        <v>859</v>
      </c>
      <c r="N50" s="129"/>
      <c r="O50" s="129" t="s">
        <v>860</v>
      </c>
      <c r="P50" s="129"/>
    </row>
    <row r="51" spans="1:16" x14ac:dyDescent="0.2">
      <c r="K51" s="6"/>
      <c r="M51" s="497" t="s">
        <v>861</v>
      </c>
      <c r="N51" s="73"/>
      <c r="O51" s="497" t="s">
        <v>861</v>
      </c>
      <c r="P51" s="73"/>
    </row>
    <row r="52" spans="1:16" x14ac:dyDescent="0.2">
      <c r="C52" s="77" t="s">
        <v>859</v>
      </c>
      <c r="D52" s="77"/>
      <c r="E52" s="77" t="s">
        <v>860</v>
      </c>
      <c r="F52" s="77"/>
      <c r="K52" s="6"/>
      <c r="M52" s="32" t="s">
        <v>862</v>
      </c>
      <c r="N52" s="32" t="s">
        <v>608</v>
      </c>
      <c r="O52" s="32" t="s">
        <v>862</v>
      </c>
      <c r="P52" s="32" t="s">
        <v>608</v>
      </c>
    </row>
    <row r="53" spans="1:16" ht="25.5" x14ac:dyDescent="0.2">
      <c r="A53" s="634" t="s">
        <v>863</v>
      </c>
      <c r="B53" s="636" t="s">
        <v>864</v>
      </c>
      <c r="C53" s="83" t="s">
        <v>865</v>
      </c>
      <c r="D53" s="531">
        <v>10</v>
      </c>
      <c r="E53" s="83" t="s">
        <v>866</v>
      </c>
      <c r="F53" s="84">
        <v>5</v>
      </c>
      <c r="K53" s="6" t="s">
        <v>798</v>
      </c>
      <c r="L53" s="132" t="str">
        <f>LEFT(Control!D20,1)&amp;"Y"</f>
        <v>SY</v>
      </c>
      <c r="M53" s="32" t="s">
        <v>867</v>
      </c>
      <c r="N53" s="32" t="s">
        <v>868</v>
      </c>
      <c r="O53" s="32" t="s">
        <v>869</v>
      </c>
      <c r="P53" s="32" t="s">
        <v>870</v>
      </c>
    </row>
    <row r="54" spans="1:16" ht="14.45" customHeight="1" x14ac:dyDescent="0.2">
      <c r="A54" s="635"/>
      <c r="B54" s="637"/>
      <c r="C54" s="85" t="s">
        <v>871</v>
      </c>
      <c r="D54" s="531">
        <v>10</v>
      </c>
      <c r="E54" s="85" t="s">
        <v>872</v>
      </c>
      <c r="F54" s="84">
        <v>5</v>
      </c>
      <c r="J54" s="3" t="s">
        <v>873</v>
      </c>
      <c r="K54" s="530" t="s">
        <v>864</v>
      </c>
      <c r="L54" s="124">
        <f>INDEX(M54:P54,1,MATCH($L$53,$M$53:$P$53,0))</f>
        <v>5</v>
      </c>
      <c r="M54" s="380">
        <v>10</v>
      </c>
      <c r="N54" s="380">
        <v>10</v>
      </c>
      <c r="O54" s="380">
        <v>5</v>
      </c>
      <c r="P54" s="380">
        <v>5</v>
      </c>
    </row>
    <row r="55" spans="1:16" ht="15.75" x14ac:dyDescent="0.2">
      <c r="A55" s="15" t="s">
        <v>874</v>
      </c>
      <c r="B55" s="76" t="s">
        <v>875</v>
      </c>
      <c r="D55" s="86" t="s">
        <v>876</v>
      </c>
      <c r="F55" s="86" t="s">
        <v>877</v>
      </c>
      <c r="J55" s="7">
        <f>Control!D22</f>
        <v>800</v>
      </c>
      <c r="K55" s="128" t="s">
        <v>875</v>
      </c>
      <c r="L55" s="124">
        <f>INDEX(M55:P55,1,MATCH($L$53,$M$53:$P$53,0))</f>
        <v>5</v>
      </c>
      <c r="M55" s="130">
        <f>ROUNDDOWN(15-0.006*Control!D22,0)</f>
        <v>10</v>
      </c>
      <c r="N55" s="131">
        <f>M55</f>
        <v>10</v>
      </c>
      <c r="O55" s="131">
        <f>ROUNDDOWN(10-0.006*Control!D22,0)</f>
        <v>5</v>
      </c>
      <c r="P55" s="131">
        <f>O55</f>
        <v>5</v>
      </c>
    </row>
    <row r="56" spans="1:16" ht="28.15" customHeight="1" x14ac:dyDescent="0.2">
      <c r="A56" s="634" t="s">
        <v>878</v>
      </c>
      <c r="B56" s="625" t="s">
        <v>879</v>
      </c>
      <c r="C56" s="639" t="s">
        <v>880</v>
      </c>
      <c r="D56" s="639"/>
      <c r="E56" s="639" t="s">
        <v>881</v>
      </c>
      <c r="F56" s="639"/>
      <c r="J56" s="127" t="s">
        <v>882</v>
      </c>
      <c r="K56" s="6" t="s">
        <v>798</v>
      </c>
      <c r="L56" s="132" t="str">
        <f>LEFT(Control!D20,1)&amp;LEFT(Control!D21,1)</f>
        <v>SN</v>
      </c>
      <c r="M56" s="131">
        <v>-3</v>
      </c>
      <c r="N56" s="131">
        <v>-5</v>
      </c>
      <c r="O56" s="131">
        <v>-5</v>
      </c>
      <c r="P56" s="131">
        <v>-7</v>
      </c>
    </row>
    <row r="57" spans="1:16" ht="28.15" customHeight="1" x14ac:dyDescent="0.2">
      <c r="A57" s="635"/>
      <c r="B57" s="626"/>
      <c r="C57" s="639" t="s">
        <v>883</v>
      </c>
      <c r="D57" s="639"/>
      <c r="E57" s="639" t="s">
        <v>884</v>
      </c>
      <c r="F57" s="639"/>
      <c r="K57" s="128" t="s">
        <v>885</v>
      </c>
      <c r="L57" s="124">
        <f>INDEX(M57:P57,1,MATCH($L$56,$M$53:$P$53,0))</f>
        <v>-14</v>
      </c>
      <c r="M57" s="131">
        <f>ROUND(M56-0.0085*$J$55,0)</f>
        <v>-10</v>
      </c>
      <c r="N57" s="131">
        <f>ROUND(N56-0.0085*$J$55,0)</f>
        <v>-12</v>
      </c>
      <c r="O57" s="131">
        <f>ROUND(O56-0.0085*$J$55,0)</f>
        <v>-12</v>
      </c>
      <c r="P57" s="131">
        <f>ROUND(P56-0.0085*$J$55,0)</f>
        <v>-14</v>
      </c>
    </row>
    <row r="58" spans="1:16" ht="14.45" customHeight="1" x14ac:dyDescent="0.2">
      <c r="A58" s="16" t="s">
        <v>886</v>
      </c>
      <c r="B58" s="76" t="s">
        <v>887</v>
      </c>
      <c r="C58" s="627">
        <v>-5</v>
      </c>
      <c r="D58" s="627"/>
      <c r="E58" s="627">
        <v>-5</v>
      </c>
      <c r="F58" s="627"/>
      <c r="K58" s="128" t="s">
        <v>888</v>
      </c>
      <c r="L58" s="124">
        <f>INDEX(M58:P58,1,MATCH($L$56,$M$53:$P$53,0))</f>
        <v>-5</v>
      </c>
      <c r="M58" s="131">
        <v>-5</v>
      </c>
      <c r="N58" s="131">
        <v>-5</v>
      </c>
      <c r="O58" s="131">
        <v>-5</v>
      </c>
      <c r="P58" s="131">
        <v>-5</v>
      </c>
    </row>
    <row r="59" spans="1:16" ht="28.15" customHeight="1" x14ac:dyDescent="0.2">
      <c r="A59" s="16" t="s">
        <v>889</v>
      </c>
      <c r="B59" s="76" t="s">
        <v>890</v>
      </c>
      <c r="C59" s="627">
        <v>5</v>
      </c>
      <c r="D59" s="627"/>
      <c r="E59" s="627">
        <v>5</v>
      </c>
      <c r="F59" s="627"/>
      <c r="K59" s="128" t="s">
        <v>891</v>
      </c>
      <c r="L59" s="124">
        <f>INDEX(M59:P59,1,MATCH($L$56,$M$53:$P$53,0))</f>
        <v>5</v>
      </c>
      <c r="M59" s="131">
        <v>5</v>
      </c>
      <c r="N59" s="131">
        <v>5</v>
      </c>
      <c r="O59" s="131">
        <v>5</v>
      </c>
      <c r="P59" s="131">
        <v>5</v>
      </c>
    </row>
    <row r="60" spans="1:16" ht="15" x14ac:dyDescent="0.2">
      <c r="A60" s="87"/>
    </row>
    <row r="61" spans="1:16" ht="15" x14ac:dyDescent="0.25">
      <c r="A61" s="87"/>
      <c r="F61" s="213" t="s">
        <v>765</v>
      </c>
    </row>
    <row r="62" spans="1:16" ht="15" x14ac:dyDescent="0.2">
      <c r="A62" s="87"/>
    </row>
    <row r="63" spans="1:16" x14ac:dyDescent="0.2">
      <c r="L63" s="125" t="s">
        <v>892</v>
      </c>
      <c r="M63" s="3" t="s">
        <v>893</v>
      </c>
      <c r="N63" s="3" t="s">
        <v>894</v>
      </c>
      <c r="O63" s="3" t="s">
        <v>895</v>
      </c>
    </row>
    <row r="64" spans="1:16" ht="30" x14ac:dyDescent="0.2">
      <c r="A64" s="638" t="s">
        <v>896</v>
      </c>
      <c r="B64" s="638"/>
      <c r="C64" s="531" t="s">
        <v>897</v>
      </c>
      <c r="D64" s="638" t="s">
        <v>898</v>
      </c>
      <c r="E64" s="638"/>
      <c r="F64" s="638"/>
      <c r="G64" s="638"/>
      <c r="H64" s="638"/>
      <c r="I64" s="638"/>
      <c r="J64" s="638"/>
      <c r="L64" s="3"/>
    </row>
    <row r="65" spans="1:30" s="227" customFormat="1" ht="30" customHeight="1" x14ac:dyDescent="0.2">
      <c r="A65" s="531" t="s">
        <v>899</v>
      </c>
      <c r="B65" s="80" t="s">
        <v>900</v>
      </c>
      <c r="C65" s="531" t="s">
        <v>901</v>
      </c>
      <c r="D65" s="80">
        <v>50</v>
      </c>
      <c r="E65" s="79">
        <v>60</v>
      </c>
      <c r="F65" s="79">
        <v>70</v>
      </c>
      <c r="G65" s="79">
        <v>80</v>
      </c>
      <c r="H65" s="79">
        <v>90</v>
      </c>
      <c r="I65" s="79">
        <v>100</v>
      </c>
      <c r="J65" s="79">
        <v>120</v>
      </c>
      <c r="K65" s="80" t="s">
        <v>900</v>
      </c>
      <c r="L65" s="78">
        <f>Control!I10</f>
        <v>120</v>
      </c>
      <c r="M65" s="78">
        <f>Control!I11</f>
        <v>90</v>
      </c>
      <c r="N65" s="78">
        <f>Control!I12</f>
        <v>120</v>
      </c>
      <c r="O65" s="78">
        <f>Control!I13</f>
        <v>0</v>
      </c>
      <c r="P65" s="362" t="s">
        <v>365</v>
      </c>
    </row>
    <row r="66" spans="1:30" s="227" customFormat="1" ht="30" customHeight="1" x14ac:dyDescent="0.2">
      <c r="A66" s="638" t="s">
        <v>902</v>
      </c>
      <c r="B66" s="80" t="s">
        <v>903</v>
      </c>
      <c r="C66" s="531" t="s">
        <v>904</v>
      </c>
      <c r="D66" s="81">
        <v>35</v>
      </c>
      <c r="E66" s="81">
        <v>36</v>
      </c>
      <c r="F66" s="81">
        <v>37</v>
      </c>
      <c r="G66" s="81">
        <v>38</v>
      </c>
      <c r="H66" s="81">
        <v>39</v>
      </c>
      <c r="I66" s="81">
        <v>40</v>
      </c>
      <c r="J66" s="81">
        <v>42</v>
      </c>
      <c r="K66" s="80" t="s">
        <v>903</v>
      </c>
      <c r="L66" s="78">
        <f>IF(L65=0,0,ROUND(0.1*L65+30,0))</f>
        <v>42</v>
      </c>
      <c r="M66" s="78">
        <f t="shared" ref="M66:O66" si="0">IF(M65=0,0,ROUND(0.1*M65+30,0))</f>
        <v>39</v>
      </c>
      <c r="N66" s="78">
        <f t="shared" si="0"/>
        <v>42</v>
      </c>
      <c r="O66" s="78">
        <f t="shared" si="0"/>
        <v>0</v>
      </c>
      <c r="P66" s="362" t="s">
        <v>371</v>
      </c>
    </row>
    <row r="67" spans="1:30" s="227" customFormat="1" ht="30" customHeight="1" x14ac:dyDescent="0.2">
      <c r="A67" s="638"/>
      <c r="B67" s="80" t="s">
        <v>905</v>
      </c>
      <c r="C67" s="531" t="s">
        <v>906</v>
      </c>
      <c r="D67" s="81">
        <v>32</v>
      </c>
      <c r="E67" s="81">
        <v>33</v>
      </c>
      <c r="F67" s="81">
        <v>34</v>
      </c>
      <c r="G67" s="81">
        <v>34</v>
      </c>
      <c r="H67" s="81">
        <v>35</v>
      </c>
      <c r="I67" s="81">
        <v>36</v>
      </c>
      <c r="J67" s="81">
        <v>37</v>
      </c>
      <c r="K67" s="80" t="s">
        <v>905</v>
      </c>
      <c r="L67" s="78">
        <f>IF(L65=0,0,ROUND(0.0705*L65+28.689,0))</f>
        <v>37</v>
      </c>
      <c r="M67" s="78">
        <f t="shared" ref="M67:O67" si="1">IF(M65=0,0,ROUND(0.0705*M65+28.689,0))</f>
        <v>35</v>
      </c>
      <c r="N67" s="78">
        <f t="shared" si="1"/>
        <v>37</v>
      </c>
      <c r="O67" s="78">
        <f t="shared" si="1"/>
        <v>0</v>
      </c>
      <c r="P67" s="362" t="s">
        <v>376</v>
      </c>
    </row>
    <row r="68" spans="1:30" s="227" customFormat="1" ht="30" customHeight="1" x14ac:dyDescent="0.2">
      <c r="A68" s="531" t="s">
        <v>907</v>
      </c>
      <c r="B68" s="80" t="s">
        <v>908</v>
      </c>
      <c r="C68" s="531" t="s">
        <v>909</v>
      </c>
      <c r="D68" s="81">
        <v>32</v>
      </c>
      <c r="E68" s="81">
        <v>33</v>
      </c>
      <c r="F68" s="81">
        <v>34</v>
      </c>
      <c r="G68" s="81">
        <v>34</v>
      </c>
      <c r="H68" s="81">
        <v>34</v>
      </c>
      <c r="I68" s="81">
        <v>35</v>
      </c>
      <c r="J68" s="81">
        <v>35</v>
      </c>
      <c r="K68" s="80" t="s">
        <v>908</v>
      </c>
      <c r="L68" s="78">
        <f>IF(L65=0,0,ROUND(-0.0006*L65^2 + 0.1419*L65 + 26.57,0))</f>
        <v>35</v>
      </c>
      <c r="M68" s="78">
        <f t="shared" ref="M68:O68" si="2">IF(M65=0,0,ROUND(-0.0006*M65^2 + 0.1419*M65 + 26.57,0))</f>
        <v>34</v>
      </c>
      <c r="N68" s="78">
        <f t="shared" si="2"/>
        <v>35</v>
      </c>
      <c r="O68" s="78">
        <f t="shared" si="2"/>
        <v>0</v>
      </c>
      <c r="P68" s="362" t="s">
        <v>383</v>
      </c>
    </row>
    <row r="70" spans="1:30" x14ac:dyDescent="0.2">
      <c r="E70" s="3" t="s">
        <v>910</v>
      </c>
    </row>
    <row r="71" spans="1:30" ht="15" x14ac:dyDescent="0.25">
      <c r="E71" s="3" t="s">
        <v>911</v>
      </c>
      <c r="L71" s="213" t="s">
        <v>765</v>
      </c>
    </row>
    <row r="74" spans="1:30" ht="15" x14ac:dyDescent="0.25">
      <c r="C74" s="213" t="s">
        <v>765</v>
      </c>
    </row>
    <row r="75" spans="1:30" ht="15.75" thickBot="1" x14ac:dyDescent="0.3">
      <c r="L75" s="4" t="s">
        <v>912</v>
      </c>
    </row>
    <row r="76" spans="1:30" ht="13.9" customHeight="1" thickTop="1" x14ac:dyDescent="0.2">
      <c r="A76" s="67" t="s">
        <v>913</v>
      </c>
      <c r="B76" s="18"/>
      <c r="C76" s="18"/>
      <c r="D76" s="18"/>
      <c r="E76" s="18"/>
      <c r="F76" s="18"/>
      <c r="G76" s="18"/>
      <c r="N76" s="610" t="s">
        <v>914</v>
      </c>
      <c r="O76" s="611"/>
      <c r="P76" s="612"/>
      <c r="Q76" s="610" t="s">
        <v>915</v>
      </c>
      <c r="R76" s="611"/>
      <c r="S76" s="612"/>
      <c r="T76" s="610" t="s">
        <v>916</v>
      </c>
      <c r="U76" s="611"/>
      <c r="V76" s="612"/>
    </row>
    <row r="77" spans="1:30" ht="19.899999999999999" customHeight="1" x14ac:dyDescent="0.2">
      <c r="N77" s="613"/>
      <c r="O77" s="614"/>
      <c r="P77" s="615"/>
      <c r="Q77" s="613"/>
      <c r="R77" s="614"/>
      <c r="S77" s="615"/>
      <c r="T77" s="613"/>
      <c r="U77" s="614"/>
      <c r="V77" s="615"/>
      <c r="Y77" s="628" t="s">
        <v>917</v>
      </c>
      <c r="Z77" s="629"/>
      <c r="AA77" s="629"/>
      <c r="AB77" s="629"/>
      <c r="AC77" s="629"/>
    </row>
    <row r="78" spans="1:30" ht="19.899999999999999" customHeight="1" x14ac:dyDescent="0.2">
      <c r="F78" s="3" t="s">
        <v>918</v>
      </c>
      <c r="N78" s="622" t="s">
        <v>919</v>
      </c>
      <c r="O78" s="623"/>
      <c r="P78" s="624"/>
      <c r="Q78" s="622" t="s">
        <v>920</v>
      </c>
      <c r="R78" s="623"/>
      <c r="S78" s="624"/>
      <c r="T78" s="616" t="s">
        <v>921</v>
      </c>
      <c r="U78" s="617"/>
      <c r="V78" s="618"/>
      <c r="Y78" s="630"/>
      <c r="Z78" s="630"/>
      <c r="AA78" s="630"/>
      <c r="AB78" s="630"/>
      <c r="AC78" s="630"/>
    </row>
    <row r="79" spans="1:30" ht="27" x14ac:dyDescent="0.2">
      <c r="B79" s="532" t="s">
        <v>922</v>
      </c>
      <c r="C79" s="532" t="s">
        <v>923</v>
      </c>
      <c r="D79" s="528" t="s">
        <v>924</v>
      </c>
      <c r="E79" s="20" t="s">
        <v>925</v>
      </c>
      <c r="F79" s="20">
        <v>16</v>
      </c>
      <c r="G79" s="20">
        <v>27</v>
      </c>
      <c r="H79" s="20">
        <v>45</v>
      </c>
      <c r="I79" s="528" t="s">
        <v>897</v>
      </c>
      <c r="K79" s="13"/>
      <c r="M79" s="6" t="s">
        <v>922</v>
      </c>
      <c r="N79" s="39" t="s">
        <v>926</v>
      </c>
      <c r="O79" s="5" t="s">
        <v>927</v>
      </c>
      <c r="P79" s="40" t="s">
        <v>633</v>
      </c>
      <c r="Q79" s="39" t="s">
        <v>926</v>
      </c>
      <c r="R79" s="5" t="s">
        <v>927</v>
      </c>
      <c r="S79" s="40" t="s">
        <v>633</v>
      </c>
      <c r="T79" s="39" t="s">
        <v>926</v>
      </c>
      <c r="U79" s="5" t="s">
        <v>927</v>
      </c>
      <c r="V79" s="40" t="s">
        <v>633</v>
      </c>
      <c r="X79" s="2"/>
      <c r="Y79" s="123"/>
    </row>
    <row r="80" spans="1:30" ht="13.5" x14ac:dyDescent="0.2">
      <c r="B80" s="621" t="s">
        <v>926</v>
      </c>
      <c r="C80" s="528" t="s">
        <v>928</v>
      </c>
      <c r="D80" s="528" t="s">
        <v>317</v>
      </c>
      <c r="E80" s="528">
        <v>0</v>
      </c>
      <c r="F80" s="528">
        <v>0</v>
      </c>
      <c r="G80" s="528">
        <v>0</v>
      </c>
      <c r="H80" s="528">
        <v>0</v>
      </c>
      <c r="I80" s="528">
        <v>0</v>
      </c>
      <c r="L80" s="620" t="s">
        <v>929</v>
      </c>
      <c r="M80" s="33">
        <v>0</v>
      </c>
      <c r="N80" s="41">
        <v>0</v>
      </c>
      <c r="O80" s="25">
        <v>0</v>
      </c>
      <c r="P80" s="42">
        <v>10</v>
      </c>
      <c r="Q80" s="41">
        <v>0</v>
      </c>
      <c r="R80" s="25">
        <v>0</v>
      </c>
      <c r="S80" s="42">
        <v>0</v>
      </c>
      <c r="T80" s="41">
        <v>0</v>
      </c>
      <c r="U80" s="25">
        <v>0</v>
      </c>
      <c r="V80" s="42">
        <v>0</v>
      </c>
      <c r="X80" s="3"/>
      <c r="Y80" s="124"/>
      <c r="Z80" s="36"/>
      <c r="AA80" s="36"/>
      <c r="AB80" s="36"/>
      <c r="AC80" s="36"/>
      <c r="AD80">
        <v>1</v>
      </c>
    </row>
    <row r="81" spans="2:42" ht="13.5" x14ac:dyDescent="0.2">
      <c r="B81" s="621"/>
      <c r="C81" s="528" t="s">
        <v>930</v>
      </c>
      <c r="D81" s="528" t="s">
        <v>931</v>
      </c>
      <c r="E81" s="20">
        <v>3</v>
      </c>
      <c r="F81" s="20">
        <v>3900</v>
      </c>
      <c r="G81" s="20">
        <v>3900</v>
      </c>
      <c r="H81" s="20">
        <v>3900</v>
      </c>
      <c r="I81" s="528" t="s">
        <v>932</v>
      </c>
      <c r="L81" s="620"/>
      <c r="M81" s="282">
        <v>100.1</v>
      </c>
      <c r="N81" s="41">
        <v>0</v>
      </c>
      <c r="O81" s="25">
        <v>0</v>
      </c>
      <c r="P81" s="42">
        <v>30</v>
      </c>
      <c r="Q81" s="41">
        <v>0</v>
      </c>
      <c r="R81" s="25">
        <v>0</v>
      </c>
      <c r="S81" s="42">
        <v>0</v>
      </c>
      <c r="T81" s="41">
        <v>0</v>
      </c>
      <c r="U81" s="25">
        <v>0</v>
      </c>
      <c r="V81" s="42">
        <v>0</v>
      </c>
      <c r="X81" s="3"/>
      <c r="Y81" s="124"/>
      <c r="Z81" s="36"/>
      <c r="AA81" s="36"/>
      <c r="AB81" s="36"/>
      <c r="AC81" s="36"/>
    </row>
    <row r="82" spans="2:42" ht="13.5" x14ac:dyDescent="0.2">
      <c r="B82" s="621" t="s">
        <v>927</v>
      </c>
      <c r="C82" s="528" t="s">
        <v>933</v>
      </c>
      <c r="D82" s="528" t="s">
        <v>317</v>
      </c>
      <c r="E82" s="528">
        <v>0</v>
      </c>
      <c r="F82" s="528">
        <v>0</v>
      </c>
      <c r="G82" s="528">
        <v>0</v>
      </c>
      <c r="H82" s="528">
        <v>0</v>
      </c>
      <c r="I82" s="528">
        <v>0</v>
      </c>
      <c r="L82" s="620"/>
      <c r="M82" s="33">
        <v>200.1</v>
      </c>
      <c r="N82" s="41">
        <v>0</v>
      </c>
      <c r="O82" s="25">
        <v>30</v>
      </c>
      <c r="P82" s="42">
        <v>30</v>
      </c>
      <c r="Q82" s="41">
        <v>0</v>
      </c>
      <c r="R82" s="25">
        <v>0</v>
      </c>
      <c r="S82" s="42">
        <v>0</v>
      </c>
      <c r="T82" s="41">
        <v>0</v>
      </c>
      <c r="U82" s="25">
        <v>0</v>
      </c>
      <c r="V82" s="42">
        <v>0</v>
      </c>
      <c r="Y82" s="20" t="s">
        <v>934</v>
      </c>
      <c r="Z82" s="20">
        <v>1</v>
      </c>
      <c r="AA82" s="20">
        <v>16</v>
      </c>
      <c r="AB82" s="20">
        <v>27</v>
      </c>
      <c r="AC82" s="20">
        <v>45</v>
      </c>
      <c r="AD82" s="297" t="s">
        <v>246</v>
      </c>
      <c r="AJ82" s="136"/>
      <c r="AK82" s="136"/>
      <c r="AL82" s="136"/>
      <c r="AN82" s="136"/>
      <c r="AO82" s="136"/>
      <c r="AP82" s="136"/>
    </row>
    <row r="83" spans="2:42" ht="13.5" x14ac:dyDescent="0.2">
      <c r="B83" s="621"/>
      <c r="C83" s="528" t="s">
        <v>935</v>
      </c>
      <c r="D83" s="528" t="s">
        <v>931</v>
      </c>
      <c r="E83" s="20">
        <v>3</v>
      </c>
      <c r="F83" s="20">
        <v>3900</v>
      </c>
      <c r="G83" s="20">
        <v>3900</v>
      </c>
      <c r="H83" s="20">
        <v>3900</v>
      </c>
      <c r="I83" s="528" t="s">
        <v>932</v>
      </c>
      <c r="L83" s="620"/>
      <c r="M83" s="33">
        <v>500.1</v>
      </c>
      <c r="N83" s="41">
        <v>30</v>
      </c>
      <c r="O83" s="26">
        <v>30</v>
      </c>
      <c r="P83" s="42">
        <v>30</v>
      </c>
      <c r="Q83" s="41">
        <v>0</v>
      </c>
      <c r="R83" s="25">
        <v>0</v>
      </c>
      <c r="S83" s="42">
        <v>0</v>
      </c>
      <c r="T83" s="41">
        <v>0</v>
      </c>
      <c r="U83" s="25">
        <v>0</v>
      </c>
      <c r="V83" s="42">
        <v>0</v>
      </c>
      <c r="X83" s="34">
        <v>0</v>
      </c>
      <c r="Y83" s="20">
        <v>0</v>
      </c>
      <c r="Z83" s="283">
        <v>5350</v>
      </c>
      <c r="AA83" s="283">
        <v>5350</v>
      </c>
      <c r="AB83" s="283">
        <v>5450</v>
      </c>
      <c r="AC83" s="283">
        <v>5550</v>
      </c>
      <c r="AD83" s="275">
        <f>MIN(AA83:AC83)</f>
        <v>5350</v>
      </c>
      <c r="AF83" s="24"/>
      <c r="AG83" s="136"/>
      <c r="AJ83" s="167"/>
    </row>
    <row r="84" spans="2:42" ht="13.5" x14ac:dyDescent="0.2">
      <c r="B84" s="621" t="s">
        <v>936</v>
      </c>
      <c r="C84" s="528" t="s">
        <v>937</v>
      </c>
      <c r="D84" s="528" t="s">
        <v>317</v>
      </c>
      <c r="E84" s="528">
        <v>0</v>
      </c>
      <c r="F84" s="528">
        <v>0</v>
      </c>
      <c r="G84" s="528">
        <v>0</v>
      </c>
      <c r="H84" s="528">
        <v>0</v>
      </c>
      <c r="I84" s="528">
        <v>0</v>
      </c>
      <c r="L84" s="620"/>
      <c r="M84" s="33">
        <v>600.1</v>
      </c>
      <c r="N84" s="43">
        <v>30</v>
      </c>
      <c r="O84" s="26">
        <v>30</v>
      </c>
      <c r="P84" s="44">
        <v>30</v>
      </c>
      <c r="Q84" s="41">
        <v>5</v>
      </c>
      <c r="R84" s="25">
        <v>5</v>
      </c>
      <c r="S84" s="42">
        <v>5</v>
      </c>
      <c r="T84" s="41">
        <v>30</v>
      </c>
      <c r="U84" s="25">
        <v>30</v>
      </c>
      <c r="V84" s="42">
        <v>50</v>
      </c>
      <c r="X84" s="34">
        <v>31</v>
      </c>
      <c r="Y84" s="20">
        <v>30</v>
      </c>
      <c r="Z84" s="283">
        <v>5350</v>
      </c>
      <c r="AA84" s="283">
        <v>5350</v>
      </c>
      <c r="AB84" s="283">
        <v>5450</v>
      </c>
      <c r="AC84" s="283">
        <v>5550</v>
      </c>
      <c r="AD84" s="275">
        <f t="shared" ref="AD84:AD90" si="3">MIN(AA84:AC84)</f>
        <v>5350</v>
      </c>
      <c r="AF84" s="24"/>
      <c r="AG84" s="136"/>
    </row>
    <row r="85" spans="2:42" ht="13.5" x14ac:dyDescent="0.2">
      <c r="B85" s="621"/>
      <c r="C85" s="528" t="s">
        <v>938</v>
      </c>
      <c r="D85" s="528" t="s">
        <v>939</v>
      </c>
      <c r="E85" s="20">
        <v>3</v>
      </c>
      <c r="F85" s="20">
        <v>5350</v>
      </c>
      <c r="G85" s="20">
        <v>5450</v>
      </c>
      <c r="H85" s="20">
        <v>5550</v>
      </c>
      <c r="I85" s="528" t="s">
        <v>932</v>
      </c>
      <c r="L85" s="620"/>
      <c r="M85" s="282">
        <v>700.1</v>
      </c>
      <c r="N85" s="43">
        <v>30</v>
      </c>
      <c r="O85" s="26">
        <v>30</v>
      </c>
      <c r="P85" s="44">
        <v>30</v>
      </c>
      <c r="Q85" s="41">
        <v>5</v>
      </c>
      <c r="R85" s="25">
        <v>5</v>
      </c>
      <c r="S85" s="42">
        <v>8</v>
      </c>
      <c r="T85" s="41">
        <v>30</v>
      </c>
      <c r="U85" s="25">
        <v>30</v>
      </c>
      <c r="V85" s="42">
        <v>55</v>
      </c>
      <c r="X85" s="35">
        <f t="shared" ref="X85:X90" si="4">Y85+1</f>
        <v>36</v>
      </c>
      <c r="Y85" s="20">
        <v>35</v>
      </c>
      <c r="Z85" s="283">
        <v>5000</v>
      </c>
      <c r="AA85" s="283">
        <v>5000</v>
      </c>
      <c r="AB85" s="283">
        <v>5100</v>
      </c>
      <c r="AC85" s="283">
        <v>5200</v>
      </c>
      <c r="AD85" s="275">
        <f t="shared" si="3"/>
        <v>5000</v>
      </c>
      <c r="AF85" s="3"/>
      <c r="AG85" s="167"/>
    </row>
    <row r="86" spans="2:42" ht="13.5" x14ac:dyDescent="0.2">
      <c r="B86" s="621"/>
      <c r="C86" s="528" t="s">
        <v>940</v>
      </c>
      <c r="D86" s="528" t="s">
        <v>939</v>
      </c>
      <c r="E86" s="22">
        <v>3.5</v>
      </c>
      <c r="F86" s="20">
        <v>5000</v>
      </c>
      <c r="G86" s="20">
        <v>5100</v>
      </c>
      <c r="H86" s="20">
        <v>5200</v>
      </c>
      <c r="I86" s="528" t="s">
        <v>932</v>
      </c>
      <c r="L86" s="620"/>
      <c r="M86" s="33">
        <v>900.1</v>
      </c>
      <c r="N86" s="43">
        <v>30</v>
      </c>
      <c r="O86" s="26">
        <v>30</v>
      </c>
      <c r="P86" s="44">
        <v>30</v>
      </c>
      <c r="Q86" s="41">
        <v>8</v>
      </c>
      <c r="R86" s="25">
        <v>8</v>
      </c>
      <c r="S86" s="42">
        <v>10</v>
      </c>
      <c r="T86" s="41">
        <v>35</v>
      </c>
      <c r="U86" s="25">
        <v>35</v>
      </c>
      <c r="V86" s="42">
        <v>60</v>
      </c>
      <c r="X86" s="35">
        <f t="shared" si="4"/>
        <v>41</v>
      </c>
      <c r="Y86" s="20">
        <v>40</v>
      </c>
      <c r="Z86" s="283">
        <v>4800</v>
      </c>
      <c r="AA86" s="283">
        <v>4800</v>
      </c>
      <c r="AB86" s="283">
        <v>4850</v>
      </c>
      <c r="AC86" s="283">
        <v>4950</v>
      </c>
      <c r="AD86" s="275">
        <f t="shared" si="3"/>
        <v>4800</v>
      </c>
      <c r="AF86" s="3"/>
      <c r="AG86" s="167"/>
      <c r="AJ86" s="167"/>
    </row>
    <row r="87" spans="2:42" ht="13.5" x14ac:dyDescent="0.2">
      <c r="B87" s="621"/>
      <c r="C87" s="528" t="s">
        <v>937</v>
      </c>
      <c r="D87" s="528" t="s">
        <v>317</v>
      </c>
      <c r="E87" s="528">
        <v>0</v>
      </c>
      <c r="F87" s="528">
        <v>0</v>
      </c>
      <c r="G87" s="528">
        <v>0</v>
      </c>
      <c r="H87" s="528">
        <v>0</v>
      </c>
      <c r="I87" s="528">
        <v>0</v>
      </c>
      <c r="L87" s="620"/>
      <c r="M87" s="33">
        <v>1200.0999999999999</v>
      </c>
      <c r="N87" s="43">
        <v>30</v>
      </c>
      <c r="O87" s="26">
        <v>30</v>
      </c>
      <c r="P87" s="44">
        <v>30</v>
      </c>
      <c r="Q87" s="41">
        <v>10</v>
      </c>
      <c r="R87" s="25">
        <v>10</v>
      </c>
      <c r="S87" s="42">
        <v>12</v>
      </c>
      <c r="T87" s="41">
        <v>40</v>
      </c>
      <c r="U87" s="25">
        <v>40</v>
      </c>
      <c r="V87" s="42">
        <v>70</v>
      </c>
      <c r="X87" s="35">
        <f t="shared" si="4"/>
        <v>51</v>
      </c>
      <c r="Y87" s="20">
        <v>50</v>
      </c>
      <c r="Z87" s="283">
        <v>3850</v>
      </c>
      <c r="AA87" s="283">
        <v>3850</v>
      </c>
      <c r="AB87" s="283">
        <v>3950</v>
      </c>
      <c r="AC87" s="283">
        <v>4050</v>
      </c>
      <c r="AD87" s="275">
        <f t="shared" si="3"/>
        <v>3850</v>
      </c>
      <c r="AG87" s="167"/>
      <c r="AK87" s="167"/>
      <c r="AL87" s="167"/>
    </row>
    <row r="88" spans="2:42" ht="13.5" x14ac:dyDescent="0.2">
      <c r="B88" s="621"/>
      <c r="C88" s="23" t="s">
        <v>941</v>
      </c>
      <c r="D88" s="528" t="s">
        <v>939</v>
      </c>
      <c r="E88" s="22">
        <v>4</v>
      </c>
      <c r="F88" s="20">
        <v>4800</v>
      </c>
      <c r="G88" s="20">
        <v>4850</v>
      </c>
      <c r="H88" s="20">
        <v>4950</v>
      </c>
      <c r="I88" s="528" t="s">
        <v>932</v>
      </c>
      <c r="L88" s="620"/>
      <c r="M88" s="33">
        <v>5000</v>
      </c>
      <c r="N88" s="43">
        <v>30</v>
      </c>
      <c r="O88" s="26">
        <v>30</v>
      </c>
      <c r="P88" s="44">
        <v>30</v>
      </c>
      <c r="Q88" s="41">
        <v>10</v>
      </c>
      <c r="R88" s="25">
        <v>10</v>
      </c>
      <c r="S88" s="42">
        <v>12</v>
      </c>
      <c r="T88" s="41">
        <v>40</v>
      </c>
      <c r="U88" s="25">
        <v>40</v>
      </c>
      <c r="V88" s="42">
        <v>70</v>
      </c>
      <c r="X88" s="35">
        <f t="shared" si="4"/>
        <v>56</v>
      </c>
      <c r="Y88" s="20">
        <v>55</v>
      </c>
      <c r="Z88" s="283">
        <v>3550</v>
      </c>
      <c r="AA88" s="283">
        <v>3550</v>
      </c>
      <c r="AB88" s="283">
        <v>3650</v>
      </c>
      <c r="AC88" s="283">
        <v>3750</v>
      </c>
      <c r="AD88" s="275">
        <f t="shared" si="3"/>
        <v>3550</v>
      </c>
      <c r="AG88" s="167"/>
      <c r="AK88" s="167"/>
      <c r="AL88" s="167"/>
    </row>
    <row r="89" spans="2:42" ht="13.5" x14ac:dyDescent="0.2">
      <c r="B89" s="621"/>
      <c r="C89" s="528" t="s">
        <v>942</v>
      </c>
      <c r="D89" s="528" t="s">
        <v>943</v>
      </c>
      <c r="E89" s="22">
        <v>0.5</v>
      </c>
      <c r="F89" s="20">
        <v>6850</v>
      </c>
      <c r="G89" s="20">
        <v>6850</v>
      </c>
      <c r="H89" s="20">
        <v>6850</v>
      </c>
      <c r="I89" s="528" t="s">
        <v>944</v>
      </c>
      <c r="L89" s="21" t="s">
        <v>945</v>
      </c>
      <c r="M89" s="19" t="s">
        <v>946</v>
      </c>
      <c r="N89" s="39">
        <v>20</v>
      </c>
      <c r="O89" s="5">
        <v>20</v>
      </c>
      <c r="P89" s="40">
        <v>20</v>
      </c>
      <c r="Q89" s="50">
        <v>8.3333333333333329E-2</v>
      </c>
      <c r="R89" s="27">
        <v>8.3333333333333329E-2</v>
      </c>
      <c r="S89" s="51">
        <v>1</v>
      </c>
      <c r="T89" s="39">
        <v>20</v>
      </c>
      <c r="U89" s="5">
        <v>20</v>
      </c>
      <c r="V89" s="40">
        <v>20</v>
      </c>
      <c r="X89" s="35">
        <f t="shared" si="4"/>
        <v>61</v>
      </c>
      <c r="Y89" s="20">
        <v>60</v>
      </c>
      <c r="Z89" s="283">
        <v>3300</v>
      </c>
      <c r="AA89" s="283">
        <v>3300</v>
      </c>
      <c r="AB89" s="283">
        <v>3400</v>
      </c>
      <c r="AC89" s="283">
        <v>3500</v>
      </c>
      <c r="AD89" s="275">
        <f t="shared" si="3"/>
        <v>3300</v>
      </c>
      <c r="AK89" s="167"/>
      <c r="AL89" s="167"/>
    </row>
    <row r="90" spans="2:42" ht="13.5" x14ac:dyDescent="0.2">
      <c r="B90" s="621"/>
      <c r="C90" s="528" t="s">
        <v>947</v>
      </c>
      <c r="D90" s="528" t="s">
        <v>943</v>
      </c>
      <c r="E90" s="22">
        <v>0.8</v>
      </c>
      <c r="F90" s="20">
        <v>6850</v>
      </c>
      <c r="G90" s="20">
        <v>6850</v>
      </c>
      <c r="H90" s="20">
        <v>6850</v>
      </c>
      <c r="I90" s="528" t="s">
        <v>944</v>
      </c>
      <c r="L90" s="21" t="s">
        <v>948</v>
      </c>
      <c r="M90" s="19" t="s">
        <v>949</v>
      </c>
      <c r="N90" s="39">
        <v>3900</v>
      </c>
      <c r="O90" s="5">
        <v>3900</v>
      </c>
      <c r="P90" s="40">
        <v>3900</v>
      </c>
      <c r="Q90" s="52">
        <v>6850</v>
      </c>
      <c r="R90" s="28">
        <v>6850</v>
      </c>
      <c r="S90" s="53">
        <v>6850</v>
      </c>
      <c r="T90" s="54" t="s">
        <v>950</v>
      </c>
      <c r="U90" s="32" t="s">
        <v>950</v>
      </c>
      <c r="V90" s="55" t="s">
        <v>950</v>
      </c>
      <c r="X90" s="35">
        <f t="shared" si="4"/>
        <v>71</v>
      </c>
      <c r="Y90" s="20">
        <v>70</v>
      </c>
      <c r="Z90" s="283">
        <v>2950</v>
      </c>
      <c r="AA90" s="283">
        <v>2950</v>
      </c>
      <c r="AB90" s="283">
        <v>3050</v>
      </c>
      <c r="AC90" s="283">
        <v>3150</v>
      </c>
      <c r="AD90" s="275">
        <f t="shared" si="3"/>
        <v>2950</v>
      </c>
    </row>
    <row r="91" spans="2:42" ht="13.5" x14ac:dyDescent="0.2">
      <c r="B91" s="621"/>
      <c r="C91" s="23" t="s">
        <v>941</v>
      </c>
      <c r="D91" s="528" t="s">
        <v>943</v>
      </c>
      <c r="E91" s="22">
        <v>1</v>
      </c>
      <c r="F91" s="20">
        <v>6850</v>
      </c>
      <c r="G91" s="20">
        <v>6850</v>
      </c>
      <c r="H91" s="20">
        <v>6850</v>
      </c>
      <c r="I91" s="528" t="s">
        <v>944</v>
      </c>
      <c r="K91" s="21"/>
      <c r="N91" s="39"/>
      <c r="O91" s="5"/>
      <c r="P91" s="40"/>
      <c r="Q91" s="50"/>
      <c r="R91" s="27"/>
      <c r="S91" s="51"/>
      <c r="T91" s="39"/>
      <c r="U91" s="5"/>
      <c r="V91" s="40"/>
    </row>
    <row r="92" spans="2:42" ht="14.25" thickBot="1" x14ac:dyDescent="0.25">
      <c r="B92" s="621" t="s">
        <v>633</v>
      </c>
      <c r="C92" s="281" t="s">
        <v>951</v>
      </c>
      <c r="D92" s="528" t="s">
        <v>931</v>
      </c>
      <c r="E92" s="22">
        <v>1</v>
      </c>
      <c r="F92" s="20">
        <v>3900</v>
      </c>
      <c r="G92" s="20">
        <v>3900</v>
      </c>
      <c r="H92" s="20">
        <v>3900</v>
      </c>
      <c r="I92" s="528" t="s">
        <v>932</v>
      </c>
      <c r="K92" s="30" t="s">
        <v>952</v>
      </c>
      <c r="N92" s="59"/>
      <c r="O92" s="60"/>
      <c r="P92" s="61"/>
      <c r="Q92" s="62"/>
      <c r="R92" s="63"/>
      <c r="S92" s="64"/>
      <c r="T92" s="59"/>
      <c r="U92" s="60"/>
      <c r="V92" s="61"/>
      <c r="W92" s="167"/>
      <c r="Z92" s="3" t="s">
        <v>953</v>
      </c>
    </row>
    <row r="93" spans="2:42" ht="14.25" thickTop="1" x14ac:dyDescent="0.2">
      <c r="B93" s="621"/>
      <c r="C93" s="528" t="s">
        <v>954</v>
      </c>
      <c r="D93" s="528" t="s">
        <v>931</v>
      </c>
      <c r="E93" s="22">
        <v>3</v>
      </c>
      <c r="F93" s="20">
        <v>3900</v>
      </c>
      <c r="G93" s="20">
        <v>3900</v>
      </c>
      <c r="H93" s="20">
        <v>3900</v>
      </c>
      <c r="I93" s="528" t="s">
        <v>932</v>
      </c>
      <c r="K93" s="24" t="s">
        <v>955</v>
      </c>
      <c r="L93" s="168" t="str">
        <f>Control!D24</f>
        <v>S</v>
      </c>
      <c r="M93" s="125"/>
      <c r="N93" s="56" t="s">
        <v>956</v>
      </c>
      <c r="O93" s="57" t="s">
        <v>948</v>
      </c>
      <c r="P93" s="58" t="s">
        <v>957</v>
      </c>
      <c r="Q93" s="56" t="s">
        <v>956</v>
      </c>
      <c r="R93" s="57" t="s">
        <v>948</v>
      </c>
      <c r="S93" s="58" t="s">
        <v>958</v>
      </c>
      <c r="T93" s="56" t="s">
        <v>956</v>
      </c>
      <c r="U93" s="57" t="s">
        <v>948</v>
      </c>
      <c r="V93" s="58" t="s">
        <v>957</v>
      </c>
      <c r="W93" s="167"/>
      <c r="Z93" t="s">
        <v>931</v>
      </c>
      <c r="AA93">
        <v>-5</v>
      </c>
    </row>
    <row r="94" spans="2:42" ht="13.5" x14ac:dyDescent="0.2">
      <c r="B94" s="621"/>
      <c r="C94" s="528" t="s">
        <v>959</v>
      </c>
      <c r="D94" s="528" t="s">
        <v>939</v>
      </c>
      <c r="E94" s="22">
        <v>5</v>
      </c>
      <c r="F94" s="20">
        <v>3850</v>
      </c>
      <c r="G94" s="20">
        <v>3950</v>
      </c>
      <c r="H94" s="20">
        <v>4050</v>
      </c>
      <c r="I94" s="528" t="s">
        <v>932</v>
      </c>
      <c r="K94" s="24" t="s">
        <v>960</v>
      </c>
      <c r="L94" s="168" t="str">
        <f>Control!D23</f>
        <v>A7</v>
      </c>
      <c r="N94" s="505">
        <f>INDEX($N$80:$P$88,MATCH(L95,$M$80:$M$88,1),MATCH(L93,$N$79:$P$79,0))/10</f>
        <v>3</v>
      </c>
      <c r="O94" s="37">
        <f>INDEX(N$90:P$90,1,MATCH($L$93,N$79:P$79,0))</f>
        <v>3900</v>
      </c>
      <c r="P94" s="46">
        <f>INDEX(N$89:P$89,1,MATCH($L$93,N$79:P$79,0))</f>
        <v>20</v>
      </c>
      <c r="Q94" s="505">
        <f>INDEX($Q$80:$S$88,MATCH($L$95,$M$80:$M$88,1),MATCH($L$93,$Q$79:$S$79,0))/10</f>
        <v>0.8</v>
      </c>
      <c r="R94" s="37">
        <f>INDEX(Q$90:S$90,1,MATCH($L$93,Q$79:S$79,0))</f>
        <v>6850</v>
      </c>
      <c r="S94" s="46">
        <f>INDEX(Q$89:S$89,1,MATCH($L$93,Q$79:S$79,0))</f>
        <v>1</v>
      </c>
      <c r="T94" s="505">
        <f>INDEX($T$80:$V$88,MATCH(L95,$M$80:$M$88,1),MATCH(L93,$T$79:$V$79,0))/10</f>
        <v>5.5</v>
      </c>
      <c r="U94" s="37">
        <f>INDEX(AD$83:AD$90,MATCH(T94*10,$Y$83:$Y$90,1),MATCH(1,$AD$80,0))</f>
        <v>3550</v>
      </c>
      <c r="V94" s="46">
        <f>INDEX(T$89:V$89,1,MATCH($L$93,T$79:V$79,0))</f>
        <v>20</v>
      </c>
      <c r="Z94" t="s">
        <v>961</v>
      </c>
      <c r="AA94" t="s">
        <v>962</v>
      </c>
      <c r="AH94" s="3"/>
    </row>
    <row r="95" spans="2:42" ht="16.5" thickBot="1" x14ac:dyDescent="0.25">
      <c r="B95" s="621"/>
      <c r="C95" s="528" t="s">
        <v>938</v>
      </c>
      <c r="D95" s="528" t="s">
        <v>939</v>
      </c>
      <c r="E95" s="22">
        <v>5.5</v>
      </c>
      <c r="F95" s="20">
        <v>3550</v>
      </c>
      <c r="G95" s="20">
        <v>3650</v>
      </c>
      <c r="H95" s="20">
        <v>3750</v>
      </c>
      <c r="I95" s="528" t="s">
        <v>932</v>
      </c>
      <c r="K95" s="2" t="s">
        <v>923</v>
      </c>
      <c r="L95" s="168">
        <f>IF(M95="",ROUND(Control!D22,0),M95)</f>
        <v>800</v>
      </c>
      <c r="N95" s="47" t="s">
        <v>963</v>
      </c>
      <c r="O95" s="48">
        <v>-5</v>
      </c>
      <c r="P95" s="49"/>
      <c r="Q95" s="47" t="s">
        <v>963</v>
      </c>
      <c r="R95" s="48">
        <f>ROUND(INDEX($AA$96:$AB$98,MATCH($L$93,$Z$96:$Z$98,0),MATCH($L$96,$AA$95:$AB$95,0))-0.0085*$L$95,0)</f>
        <v>-14</v>
      </c>
      <c r="S95" s="49">
        <f>INDEX($D$7:$G$40,MATCH(S94,$C$7:$C$40,0),MATCH(LEFT(L94,1)&amp;"MW",$D$6:$G$6,0))</f>
        <v>0.56499999999999995</v>
      </c>
      <c r="T95" s="47" t="s">
        <v>963</v>
      </c>
      <c r="U95" s="48">
        <f>ROUND(INDEX($AA$96:$AB$98,MATCH($L$93,$Z$96:$Z$98,0),MATCH($L$96,$AA$95:$AB$95,0))-0.0085*$L$95,0)</f>
        <v>-14</v>
      </c>
      <c r="V95" s="49"/>
      <c r="Y95" s="8"/>
      <c r="Z95" t="s">
        <v>964</v>
      </c>
      <c r="AA95" t="s">
        <v>965</v>
      </c>
      <c r="AB95" t="s">
        <v>966</v>
      </c>
      <c r="AH95" s="3"/>
    </row>
    <row r="96" spans="2:42" ht="14.25" thickTop="1" x14ac:dyDescent="0.2">
      <c r="B96" s="621"/>
      <c r="C96" s="528" t="s">
        <v>940</v>
      </c>
      <c r="D96" s="528" t="s">
        <v>939</v>
      </c>
      <c r="E96" s="22">
        <v>6</v>
      </c>
      <c r="F96" s="20">
        <v>3300</v>
      </c>
      <c r="G96" s="20">
        <v>3400</v>
      </c>
      <c r="H96" s="20">
        <v>3500</v>
      </c>
      <c r="I96" s="528" t="s">
        <v>932</v>
      </c>
      <c r="K96" s="24" t="s">
        <v>967</v>
      </c>
      <c r="L96" s="168" t="str">
        <f>IF(Control!D21="Y","&lt;5km","&gt;5km")</f>
        <v>&gt;5km</v>
      </c>
      <c r="Y96" s="24" t="s">
        <v>968</v>
      </c>
      <c r="Z96" s="65" t="s">
        <v>926</v>
      </c>
      <c r="AA96">
        <v>-3</v>
      </c>
      <c r="AB96">
        <v>-5</v>
      </c>
      <c r="AH96" s="3"/>
    </row>
    <row r="97" spans="2:28" ht="13.5" x14ac:dyDescent="0.2">
      <c r="B97" s="621"/>
      <c r="C97" s="23" t="s">
        <v>941</v>
      </c>
      <c r="D97" s="528" t="s">
        <v>939</v>
      </c>
      <c r="E97" s="22">
        <v>7</v>
      </c>
      <c r="F97" s="20">
        <v>2950</v>
      </c>
      <c r="G97" s="20">
        <v>3050</v>
      </c>
      <c r="H97" s="20">
        <v>3150</v>
      </c>
      <c r="I97" s="528" t="s">
        <v>932</v>
      </c>
      <c r="K97" s="24" t="s">
        <v>969</v>
      </c>
      <c r="L97" s="38" t="s">
        <v>965</v>
      </c>
      <c r="Z97" s="65" t="s">
        <v>927</v>
      </c>
      <c r="AA97">
        <v>-3</v>
      </c>
      <c r="AB97">
        <v>-5</v>
      </c>
    </row>
    <row r="98" spans="2:28" ht="13.5" x14ac:dyDescent="0.2">
      <c r="B98" s="621"/>
      <c r="C98" s="528" t="s">
        <v>942</v>
      </c>
      <c r="D98" s="528" t="s">
        <v>943</v>
      </c>
      <c r="E98" s="22">
        <v>0.5</v>
      </c>
      <c r="F98" s="20">
        <v>6850</v>
      </c>
      <c r="G98" s="20">
        <v>6850</v>
      </c>
      <c r="H98" s="20">
        <v>6850</v>
      </c>
      <c r="I98" s="528" t="s">
        <v>970</v>
      </c>
      <c r="L98" s="38" t="s">
        <v>966</v>
      </c>
      <c r="P98" s="31" t="s">
        <v>971</v>
      </c>
      <c r="Z98" s="65" t="s">
        <v>633</v>
      </c>
      <c r="AA98">
        <v>-5</v>
      </c>
      <c r="AB98">
        <v>-7</v>
      </c>
    </row>
    <row r="99" spans="2:28" ht="15" x14ac:dyDescent="0.25">
      <c r="B99" s="621"/>
      <c r="C99" s="528" t="s">
        <v>972</v>
      </c>
      <c r="D99" s="528" t="s">
        <v>943</v>
      </c>
      <c r="E99" s="22">
        <v>0.8</v>
      </c>
      <c r="F99" s="20">
        <v>6850</v>
      </c>
      <c r="G99" s="20">
        <v>6850</v>
      </c>
      <c r="H99" s="20">
        <v>6850</v>
      </c>
      <c r="I99" s="528" t="s">
        <v>970</v>
      </c>
      <c r="N99" s="213" t="s">
        <v>765</v>
      </c>
    </row>
    <row r="100" spans="2:28" ht="13.5" x14ac:dyDescent="0.2">
      <c r="B100" s="621"/>
      <c r="C100" s="528" t="s">
        <v>947</v>
      </c>
      <c r="D100" s="528" t="s">
        <v>943</v>
      </c>
      <c r="E100" s="22">
        <v>1</v>
      </c>
      <c r="F100" s="20">
        <v>6850</v>
      </c>
      <c r="G100" s="20">
        <v>6850</v>
      </c>
      <c r="H100" s="20">
        <v>6850</v>
      </c>
      <c r="I100" s="528" t="s">
        <v>970</v>
      </c>
    </row>
    <row r="101" spans="2:28" ht="13.5" x14ac:dyDescent="0.2">
      <c r="B101" s="621"/>
      <c r="C101" s="23" t="s">
        <v>941</v>
      </c>
      <c r="D101" s="528" t="s">
        <v>943</v>
      </c>
      <c r="E101" s="22">
        <v>1.2</v>
      </c>
      <c r="F101" s="20">
        <v>6850</v>
      </c>
      <c r="G101" s="20">
        <v>6850</v>
      </c>
      <c r="H101" s="20">
        <v>6850</v>
      </c>
      <c r="I101" s="528" t="s">
        <v>970</v>
      </c>
      <c r="J101" s="13"/>
    </row>
    <row r="102" spans="2:28" x14ac:dyDescent="0.2">
      <c r="E102" s="13"/>
      <c r="F102" s="13"/>
      <c r="G102" s="13"/>
      <c r="H102" s="13"/>
      <c r="I102" s="13"/>
      <c r="J102" s="13"/>
    </row>
    <row r="103" spans="2:28" ht="15.75" thickBot="1" x14ac:dyDescent="0.3">
      <c r="C103" s="213" t="s">
        <v>765</v>
      </c>
      <c r="E103" s="13"/>
      <c r="F103" s="13"/>
      <c r="G103" s="13"/>
      <c r="H103" s="13"/>
      <c r="I103" s="13"/>
      <c r="J103" s="13"/>
    </row>
    <row r="104" spans="2:28" ht="13.9" customHeight="1" thickTop="1" x14ac:dyDescent="0.2">
      <c r="B104" s="642" t="s">
        <v>973</v>
      </c>
      <c r="C104" s="642"/>
      <c r="D104" s="642"/>
      <c r="E104" s="642"/>
      <c r="F104" s="642"/>
      <c r="G104" s="3" t="s">
        <v>974</v>
      </c>
      <c r="L104" s="13"/>
      <c r="N104" s="503" t="s">
        <v>975</v>
      </c>
      <c r="O104" s="501"/>
      <c r="P104" s="502"/>
      <c r="T104" s="610" t="s">
        <v>916</v>
      </c>
      <c r="U104" s="611"/>
      <c r="V104" s="612"/>
    </row>
    <row r="105" spans="2:28" ht="45.75" customHeight="1" x14ac:dyDescent="0.2">
      <c r="B105" s="153" t="s">
        <v>922</v>
      </c>
      <c r="C105" s="154" t="s">
        <v>976</v>
      </c>
      <c r="D105" s="15" t="s">
        <v>977</v>
      </c>
      <c r="E105" s="151" t="s">
        <v>978</v>
      </c>
      <c r="F105" s="151" t="s">
        <v>979</v>
      </c>
      <c r="N105" s="613" t="s">
        <v>980</v>
      </c>
      <c r="O105" s="614"/>
      <c r="P105" s="615"/>
      <c r="T105" s="613"/>
      <c r="U105" s="614"/>
      <c r="V105" s="615"/>
    </row>
    <row r="106" spans="2:28" ht="15" x14ac:dyDescent="0.2">
      <c r="B106" s="155" t="s">
        <v>926</v>
      </c>
      <c r="C106" s="156" t="s">
        <v>930</v>
      </c>
      <c r="D106" s="14" t="s">
        <v>931</v>
      </c>
      <c r="E106" s="152">
        <v>10</v>
      </c>
      <c r="F106" s="157">
        <v>3900</v>
      </c>
      <c r="N106" s="622" t="s">
        <v>919</v>
      </c>
      <c r="O106" s="623"/>
      <c r="P106" s="624"/>
      <c r="T106" s="616" t="s">
        <v>921</v>
      </c>
      <c r="U106" s="617"/>
      <c r="V106" s="618"/>
    </row>
    <row r="107" spans="2:28" ht="15" x14ac:dyDescent="0.2">
      <c r="B107" s="155" t="s">
        <v>927</v>
      </c>
      <c r="C107" s="156" t="s">
        <v>935</v>
      </c>
      <c r="D107" s="14" t="s">
        <v>931</v>
      </c>
      <c r="E107" s="152">
        <v>10</v>
      </c>
      <c r="F107" s="157">
        <v>3900</v>
      </c>
      <c r="M107" s="6" t="s">
        <v>922</v>
      </c>
      <c r="N107" s="39" t="s">
        <v>926</v>
      </c>
      <c r="O107" s="5" t="s">
        <v>927</v>
      </c>
      <c r="P107" s="40" t="s">
        <v>633</v>
      </c>
      <c r="S107" s="6" t="s">
        <v>922</v>
      </c>
      <c r="T107" s="39" t="s">
        <v>926</v>
      </c>
      <c r="U107" s="5" t="s">
        <v>927</v>
      </c>
      <c r="V107" s="40" t="s">
        <v>633</v>
      </c>
    </row>
    <row r="108" spans="2:28" ht="13.5" x14ac:dyDescent="0.2">
      <c r="B108" s="158" t="s">
        <v>981</v>
      </c>
      <c r="C108" s="14" t="s">
        <v>982</v>
      </c>
      <c r="D108" s="14" t="s">
        <v>939</v>
      </c>
      <c r="E108" s="152">
        <v>10</v>
      </c>
      <c r="F108" s="157">
        <v>6850</v>
      </c>
      <c r="M108" s="33">
        <v>0</v>
      </c>
      <c r="N108" s="41">
        <v>0</v>
      </c>
      <c r="O108" s="25">
        <v>0</v>
      </c>
      <c r="P108" s="42">
        <v>0</v>
      </c>
      <c r="S108" s="33">
        <v>0</v>
      </c>
      <c r="T108" s="41">
        <v>0</v>
      </c>
      <c r="U108" s="25">
        <v>0</v>
      </c>
      <c r="V108" s="42">
        <v>0</v>
      </c>
    </row>
    <row r="109" spans="2:28" ht="13.5" x14ac:dyDescent="0.2">
      <c r="B109" s="158" t="s">
        <v>981</v>
      </c>
      <c r="C109" s="14" t="s">
        <v>983</v>
      </c>
      <c r="D109" s="14" t="s">
        <v>939</v>
      </c>
      <c r="E109" s="152">
        <v>11</v>
      </c>
      <c r="F109" s="157">
        <v>6850</v>
      </c>
      <c r="M109" s="33">
        <v>50.000100000000003</v>
      </c>
      <c r="N109" s="41">
        <v>0</v>
      </c>
      <c r="O109" s="25">
        <v>0</v>
      </c>
      <c r="P109" s="42">
        <v>10</v>
      </c>
      <c r="S109" s="33">
        <v>50.000100000000003</v>
      </c>
      <c r="T109" s="41">
        <v>0</v>
      </c>
      <c r="U109" s="25">
        <v>0</v>
      </c>
      <c r="V109" s="42">
        <v>0</v>
      </c>
    </row>
    <row r="110" spans="2:28" ht="13.5" x14ac:dyDescent="0.2">
      <c r="B110" s="158" t="s">
        <v>981</v>
      </c>
      <c r="C110" s="14" t="s">
        <v>941</v>
      </c>
      <c r="D110" s="14" t="s">
        <v>939</v>
      </c>
      <c r="E110" s="152">
        <v>13</v>
      </c>
      <c r="F110" s="157">
        <v>6850</v>
      </c>
      <c r="M110" s="33">
        <v>200.0001</v>
      </c>
      <c r="N110" s="41">
        <v>0</v>
      </c>
      <c r="O110" s="25">
        <v>10</v>
      </c>
      <c r="P110" s="42">
        <v>10</v>
      </c>
      <c r="S110" s="33">
        <v>200.0001</v>
      </c>
      <c r="T110" s="41">
        <v>0</v>
      </c>
      <c r="U110" s="25">
        <v>0</v>
      </c>
      <c r="V110" s="42">
        <v>0</v>
      </c>
    </row>
    <row r="111" spans="2:28" ht="13.5" x14ac:dyDescent="0.2">
      <c r="B111" s="158" t="s">
        <v>633</v>
      </c>
      <c r="C111" s="14" t="s">
        <v>984</v>
      </c>
      <c r="D111" s="14" t="s">
        <v>931</v>
      </c>
      <c r="E111" s="152">
        <v>0</v>
      </c>
      <c r="F111" s="152">
        <v>0</v>
      </c>
      <c r="M111" s="33">
        <v>500.00009999999997</v>
      </c>
      <c r="N111" s="41">
        <v>10</v>
      </c>
      <c r="O111" s="26">
        <v>10</v>
      </c>
      <c r="P111" s="42">
        <v>10</v>
      </c>
      <c r="S111" s="33">
        <v>500.00009999999997</v>
      </c>
      <c r="T111" s="41">
        <v>0</v>
      </c>
      <c r="U111" s="25">
        <v>0</v>
      </c>
      <c r="V111" s="42">
        <v>0</v>
      </c>
    </row>
    <row r="112" spans="2:28" ht="13.5" x14ac:dyDescent="0.2">
      <c r="B112" s="158" t="s">
        <v>633</v>
      </c>
      <c r="C112" s="14" t="s">
        <v>985</v>
      </c>
      <c r="D112" s="14" t="s">
        <v>931</v>
      </c>
      <c r="E112" s="152">
        <v>10</v>
      </c>
      <c r="F112" s="152">
        <v>3900</v>
      </c>
      <c r="M112" s="33">
        <v>600.00009999999997</v>
      </c>
      <c r="N112" s="43">
        <v>10</v>
      </c>
      <c r="O112" s="26">
        <v>10</v>
      </c>
      <c r="P112" s="44">
        <v>10</v>
      </c>
      <c r="S112" s="33">
        <v>600.00009999999997</v>
      </c>
      <c r="T112" s="41">
        <v>10</v>
      </c>
      <c r="U112" s="25">
        <v>10</v>
      </c>
      <c r="V112" s="42">
        <v>16</v>
      </c>
    </row>
    <row r="113" spans="1:23" ht="13.5" x14ac:dyDescent="0.2">
      <c r="B113" s="158" t="s">
        <v>633</v>
      </c>
      <c r="C113" s="14" t="s">
        <v>986</v>
      </c>
      <c r="D113" s="14" t="s">
        <v>939</v>
      </c>
      <c r="E113" s="152">
        <v>16</v>
      </c>
      <c r="F113" s="157">
        <v>6850</v>
      </c>
      <c r="J113" s="13"/>
      <c r="M113" s="33">
        <v>750.00009999999997</v>
      </c>
      <c r="N113" s="43">
        <v>10</v>
      </c>
      <c r="O113" s="26">
        <v>10</v>
      </c>
      <c r="P113" s="44">
        <v>10</v>
      </c>
      <c r="S113" s="33">
        <v>750.00009999999997</v>
      </c>
      <c r="T113" s="41">
        <v>10</v>
      </c>
      <c r="U113" s="25">
        <v>10</v>
      </c>
      <c r="V113" s="42">
        <v>18</v>
      </c>
    </row>
    <row r="114" spans="1:23" ht="13.5" x14ac:dyDescent="0.2">
      <c r="B114" s="158" t="s">
        <v>633</v>
      </c>
      <c r="C114" s="14" t="s">
        <v>987</v>
      </c>
      <c r="D114" s="14" t="s">
        <v>939</v>
      </c>
      <c r="E114" s="152">
        <v>18</v>
      </c>
      <c r="F114" s="157">
        <v>6850</v>
      </c>
      <c r="J114" s="13"/>
      <c r="M114" s="33">
        <v>900.00000999999997</v>
      </c>
      <c r="N114" s="43">
        <v>10</v>
      </c>
      <c r="O114" s="26">
        <v>10</v>
      </c>
      <c r="P114" s="44">
        <v>10</v>
      </c>
      <c r="S114" s="33">
        <v>900.00000999999997</v>
      </c>
      <c r="T114" s="41">
        <v>10</v>
      </c>
      <c r="U114" s="25">
        <v>10</v>
      </c>
      <c r="V114" s="42">
        <v>20</v>
      </c>
    </row>
    <row r="115" spans="1:23" ht="13.5" x14ac:dyDescent="0.2">
      <c r="B115" s="158" t="s">
        <v>633</v>
      </c>
      <c r="C115" s="14" t="s">
        <v>983</v>
      </c>
      <c r="D115" s="14" t="s">
        <v>939</v>
      </c>
      <c r="E115" s="152">
        <v>20</v>
      </c>
      <c r="F115" s="157">
        <v>6850</v>
      </c>
      <c r="J115" s="13"/>
      <c r="M115" s="33">
        <v>1200.0001</v>
      </c>
      <c r="N115" s="43">
        <v>10</v>
      </c>
      <c r="O115" s="26">
        <v>10</v>
      </c>
      <c r="P115" s="44">
        <v>10</v>
      </c>
      <c r="S115" s="33">
        <v>1200.0001</v>
      </c>
      <c r="T115" s="41">
        <v>11</v>
      </c>
      <c r="U115" s="25">
        <v>11</v>
      </c>
      <c r="V115" s="42">
        <v>23</v>
      </c>
    </row>
    <row r="116" spans="1:23" ht="13.5" x14ac:dyDescent="0.2">
      <c r="B116" s="158" t="s">
        <v>633</v>
      </c>
      <c r="C116" s="14" t="s">
        <v>941</v>
      </c>
      <c r="D116" s="14" t="s">
        <v>939</v>
      </c>
      <c r="E116" s="152">
        <v>23</v>
      </c>
      <c r="F116" s="157">
        <v>6850</v>
      </c>
      <c r="G116" s="13"/>
      <c r="H116" s="13"/>
      <c r="I116" s="13"/>
      <c r="J116" s="13"/>
      <c r="K116" s="13"/>
      <c r="M116" s="33">
        <v>5000</v>
      </c>
      <c r="N116" s="43">
        <v>10</v>
      </c>
      <c r="O116" s="26">
        <v>10</v>
      </c>
      <c r="P116" s="44">
        <v>10</v>
      </c>
      <c r="S116" s="33">
        <v>5000</v>
      </c>
      <c r="T116" s="41">
        <v>13</v>
      </c>
      <c r="U116" s="25">
        <v>13</v>
      </c>
      <c r="V116" s="42">
        <v>23</v>
      </c>
    </row>
    <row r="117" spans="1:23" ht="13.5" thickBot="1" x14ac:dyDescent="0.25">
      <c r="E117" s="13"/>
      <c r="F117" s="13"/>
      <c r="G117" s="13"/>
      <c r="H117" s="13"/>
      <c r="I117" s="13"/>
      <c r="J117" s="13"/>
      <c r="N117" s="59"/>
      <c r="O117" s="60"/>
      <c r="P117" s="61"/>
      <c r="T117" s="59"/>
      <c r="U117" s="60"/>
      <c r="V117" s="61"/>
    </row>
    <row r="118" spans="1:23" ht="14.25" thickTop="1" thickBot="1" x14ac:dyDescent="0.25">
      <c r="E118" s="13"/>
      <c r="F118" s="13"/>
      <c r="G118" s="13"/>
      <c r="H118" s="13"/>
      <c r="I118" s="13"/>
      <c r="J118" s="13"/>
      <c r="N118" s="56" t="s">
        <v>956</v>
      </c>
      <c r="O118" s="57" t="s">
        <v>948</v>
      </c>
      <c r="P118" s="58" t="s">
        <v>957</v>
      </c>
      <c r="Q118" s="47" t="s">
        <v>963</v>
      </c>
      <c r="T118" s="56" t="s">
        <v>956</v>
      </c>
      <c r="U118" s="57" t="s">
        <v>948</v>
      </c>
      <c r="V118" s="58" t="s">
        <v>957</v>
      </c>
      <c r="W118" s="47" t="s">
        <v>963</v>
      </c>
    </row>
    <row r="119" spans="1:23" ht="15.75" thickTop="1" x14ac:dyDescent="0.25">
      <c r="D119" s="213" t="s">
        <v>765</v>
      </c>
      <c r="E119" s="13"/>
      <c r="F119" s="13"/>
      <c r="G119" s="13"/>
      <c r="H119" s="13"/>
      <c r="I119" s="13"/>
      <c r="J119" s="13"/>
      <c r="L119" s="24" t="s">
        <v>988</v>
      </c>
      <c r="M119" s="3" t="s">
        <v>339</v>
      </c>
      <c r="N119" s="167">
        <f>N120*0.75</f>
        <v>0.75</v>
      </c>
      <c r="O119" s="167">
        <f>O120</f>
        <v>3900</v>
      </c>
      <c r="P119" s="167">
        <f>P120</f>
        <v>20</v>
      </c>
      <c r="Q119" s="170">
        <f>Q120</f>
        <v>-5</v>
      </c>
      <c r="R119" s="24" t="s">
        <v>988</v>
      </c>
      <c r="S119" s="3" t="s">
        <v>339</v>
      </c>
      <c r="T119" s="167">
        <f>T120*0.75</f>
        <v>1.35</v>
      </c>
      <c r="U119" s="167">
        <f>U120</f>
        <v>6850</v>
      </c>
      <c r="V119" s="167">
        <f>V120</f>
        <v>20</v>
      </c>
      <c r="W119" s="170">
        <f>W120</f>
        <v>-14</v>
      </c>
    </row>
    <row r="120" spans="1:23" ht="13.5" thickBot="1" x14ac:dyDescent="0.25">
      <c r="E120" s="13"/>
      <c r="F120" s="13"/>
      <c r="G120" s="13"/>
      <c r="H120" s="13"/>
      <c r="I120" s="13"/>
      <c r="J120" s="13"/>
      <c r="M120" s="3" t="s">
        <v>346</v>
      </c>
      <c r="N120" s="45">
        <f>INDEX($N$108:$P$116,MATCH(L95,$M$108:$M$116,1),MATCH(L93,$N$107:$P$107,0))/10</f>
        <v>1</v>
      </c>
      <c r="O120" s="37">
        <v>3900</v>
      </c>
      <c r="P120" s="169">
        <v>20</v>
      </c>
      <c r="Q120" s="48">
        <v>-5</v>
      </c>
      <c r="S120" s="3" t="s">
        <v>346</v>
      </c>
      <c r="T120" s="45">
        <f>INDEX($T$108:$V$116,MATCH(L95,$M$108:$M$116,1),MATCH(L93,$T$107:$V$107,0))/10</f>
        <v>1.8</v>
      </c>
      <c r="U120" s="587">
        <f>IF(L93="S",IFERROR(INDEX(F$113:F$116,MATCH(T120*10,$E$113:$E$116,0),1),0),IFERROR(INDEX(F$108:F$110,MATCH(T120*10,$E$108:$E$110,0),1),0))</f>
        <v>6850</v>
      </c>
      <c r="V120" s="169">
        <v>20</v>
      </c>
      <c r="W120" s="48">
        <f>ROUND(INDEX($AA$96:$AB$98,MATCH($L$93,$Z$96:$Z$98,0),MATCH($L$96,$AA$95:$AB$95,0))-0.0085*$L$95,0)</f>
        <v>-14</v>
      </c>
    </row>
    <row r="121" spans="1:23" ht="13.5" thickTop="1" x14ac:dyDescent="0.2">
      <c r="E121" s="13"/>
      <c r="F121" s="13"/>
      <c r="G121" s="13"/>
      <c r="H121" s="13"/>
      <c r="I121" s="13"/>
      <c r="J121" s="13"/>
    </row>
    <row r="122" spans="1:23" ht="13.9" customHeight="1" x14ac:dyDescent="0.2">
      <c r="A122" s="631" t="s">
        <v>989</v>
      </c>
      <c r="B122" s="631"/>
      <c r="M122" s="3" t="s">
        <v>663</v>
      </c>
    </row>
    <row r="123" spans="1:23" ht="15" x14ac:dyDescent="0.2">
      <c r="A123" s="276" t="s">
        <v>990</v>
      </c>
      <c r="B123" s="261"/>
      <c r="C123" s="261" t="s">
        <v>991</v>
      </c>
      <c r="M123">
        <v>14</v>
      </c>
      <c r="N123" s="507">
        <f>0.033*M123/(0.0000145)</f>
        <v>31862.068965517243</v>
      </c>
    </row>
    <row r="124" spans="1:23" ht="15" x14ac:dyDescent="0.25">
      <c r="A124" s="209" t="s">
        <v>992</v>
      </c>
      <c r="B124" s="209"/>
      <c r="C124" s="261">
        <v>1.2</v>
      </c>
      <c r="R124" s="213" t="s">
        <v>765</v>
      </c>
    </row>
    <row r="125" spans="1:23" x14ac:dyDescent="0.2">
      <c r="A125" s="209" t="s">
        <v>993</v>
      </c>
      <c r="B125" s="209"/>
      <c r="C125" s="261">
        <v>1.3</v>
      </c>
    </row>
    <row r="126" spans="1:23" x14ac:dyDescent="0.2">
      <c r="A126" s="209" t="s">
        <v>994</v>
      </c>
      <c r="B126" s="209"/>
      <c r="C126" s="261">
        <v>1.4</v>
      </c>
    </row>
    <row r="127" spans="1:23" x14ac:dyDescent="0.2">
      <c r="A127" s="210" t="s">
        <v>995</v>
      </c>
      <c r="B127" s="209"/>
      <c r="C127" s="261">
        <v>2.2000000000000002</v>
      </c>
    </row>
    <row r="129" spans="12:29" x14ac:dyDescent="0.2">
      <c r="N129">
        <v>1</v>
      </c>
      <c r="O129">
        <v>11</v>
      </c>
      <c r="P129">
        <v>2</v>
      </c>
      <c r="Q129">
        <v>12</v>
      </c>
      <c r="R129">
        <v>3</v>
      </c>
      <c r="S129">
        <v>13</v>
      </c>
      <c r="T129">
        <v>4</v>
      </c>
      <c r="U129">
        <v>14</v>
      </c>
      <c r="V129">
        <v>5</v>
      </c>
      <c r="W129">
        <v>15</v>
      </c>
      <c r="X129">
        <v>6</v>
      </c>
      <c r="Y129">
        <v>16</v>
      </c>
      <c r="Z129">
        <v>7</v>
      </c>
      <c r="AA129">
        <v>17</v>
      </c>
      <c r="AB129">
        <v>8</v>
      </c>
      <c r="AC129">
        <v>18</v>
      </c>
    </row>
    <row r="130" spans="12:29" x14ac:dyDescent="0.2">
      <c r="L130" t="s">
        <v>573</v>
      </c>
      <c r="M130" t="s">
        <v>996</v>
      </c>
      <c r="N130">
        <v>70</v>
      </c>
      <c r="O130">
        <v>40</v>
      </c>
      <c r="P130">
        <v>70</v>
      </c>
      <c r="Q130">
        <v>40</v>
      </c>
      <c r="R130">
        <v>70</v>
      </c>
      <c r="S130">
        <v>40</v>
      </c>
      <c r="T130">
        <v>70</v>
      </c>
      <c r="U130">
        <v>70</v>
      </c>
      <c r="V130">
        <v>70</v>
      </c>
      <c r="W130">
        <v>70</v>
      </c>
      <c r="X130">
        <v>70</v>
      </c>
      <c r="Y130">
        <v>70</v>
      </c>
      <c r="Z130">
        <v>70</v>
      </c>
      <c r="AA130">
        <v>70</v>
      </c>
      <c r="AB130">
        <v>70</v>
      </c>
      <c r="AC130">
        <v>70</v>
      </c>
    </row>
    <row r="131" spans="12:29" x14ac:dyDescent="0.2">
      <c r="L131" t="s">
        <v>573</v>
      </c>
      <c r="M131" t="s">
        <v>997</v>
      </c>
      <c r="N131">
        <v>70</v>
      </c>
      <c r="O131">
        <v>70</v>
      </c>
      <c r="P131">
        <v>70</v>
      </c>
      <c r="Q131">
        <v>70</v>
      </c>
      <c r="R131">
        <v>70</v>
      </c>
      <c r="S131">
        <v>70</v>
      </c>
      <c r="T131">
        <v>70</v>
      </c>
      <c r="U131">
        <v>40</v>
      </c>
      <c r="V131">
        <v>70</v>
      </c>
      <c r="W131">
        <v>40</v>
      </c>
      <c r="X131">
        <v>70</v>
      </c>
      <c r="Y131">
        <v>40</v>
      </c>
      <c r="Z131">
        <v>70</v>
      </c>
      <c r="AA131">
        <v>70</v>
      </c>
      <c r="AB131">
        <v>70</v>
      </c>
      <c r="AC131">
        <v>70</v>
      </c>
    </row>
    <row r="132" spans="12:29" x14ac:dyDescent="0.2">
      <c r="L132" t="s">
        <v>573</v>
      </c>
      <c r="M132" t="s">
        <v>998</v>
      </c>
      <c r="N132">
        <v>40</v>
      </c>
      <c r="O132">
        <v>70</v>
      </c>
      <c r="P132">
        <v>40</v>
      </c>
      <c r="Q132">
        <v>70</v>
      </c>
      <c r="R132">
        <v>40</v>
      </c>
      <c r="S132">
        <v>70</v>
      </c>
      <c r="T132">
        <v>70</v>
      </c>
      <c r="U132">
        <v>70</v>
      </c>
      <c r="V132">
        <v>70</v>
      </c>
      <c r="W132">
        <v>70</v>
      </c>
      <c r="X132">
        <v>70</v>
      </c>
      <c r="Y132">
        <v>70</v>
      </c>
      <c r="Z132">
        <v>70</v>
      </c>
      <c r="AA132">
        <v>70</v>
      </c>
      <c r="AB132">
        <v>70</v>
      </c>
      <c r="AC132">
        <v>70</v>
      </c>
    </row>
    <row r="133" spans="12:29" x14ac:dyDescent="0.2">
      <c r="L133" t="s">
        <v>573</v>
      </c>
      <c r="M133" t="s">
        <v>999</v>
      </c>
      <c r="N133">
        <v>70</v>
      </c>
      <c r="O133">
        <v>70</v>
      </c>
      <c r="P133">
        <v>70</v>
      </c>
      <c r="Q133">
        <v>70</v>
      </c>
      <c r="R133">
        <v>70</v>
      </c>
      <c r="S133">
        <v>70</v>
      </c>
      <c r="T133">
        <v>40</v>
      </c>
      <c r="U133">
        <v>70</v>
      </c>
      <c r="V133">
        <v>40</v>
      </c>
      <c r="W133">
        <v>70</v>
      </c>
      <c r="X133">
        <v>40</v>
      </c>
      <c r="Y133">
        <v>70</v>
      </c>
      <c r="Z133">
        <v>70</v>
      </c>
      <c r="AA133">
        <v>70</v>
      </c>
      <c r="AB133">
        <v>70</v>
      </c>
      <c r="AC133">
        <v>70</v>
      </c>
    </row>
    <row r="135" spans="12:29" x14ac:dyDescent="0.2">
      <c r="L135" t="s">
        <v>570</v>
      </c>
      <c r="M135" t="s">
        <v>1000</v>
      </c>
      <c r="N135">
        <v>70</v>
      </c>
      <c r="O135">
        <v>40</v>
      </c>
      <c r="P135">
        <v>70</v>
      </c>
      <c r="Q135">
        <v>40</v>
      </c>
      <c r="R135">
        <v>70</v>
      </c>
      <c r="S135">
        <v>70</v>
      </c>
      <c r="Z135">
        <v>70</v>
      </c>
      <c r="AA135">
        <v>70</v>
      </c>
      <c r="AB135">
        <v>70</v>
      </c>
      <c r="AC135">
        <v>70</v>
      </c>
    </row>
    <row r="136" spans="12:29" x14ac:dyDescent="0.2">
      <c r="M136" t="s">
        <v>1001</v>
      </c>
      <c r="N136">
        <v>70</v>
      </c>
      <c r="O136">
        <v>70</v>
      </c>
      <c r="P136">
        <v>70</v>
      </c>
      <c r="Q136">
        <v>40</v>
      </c>
      <c r="R136">
        <v>70</v>
      </c>
      <c r="S136">
        <v>40</v>
      </c>
      <c r="Z136">
        <v>70</v>
      </c>
      <c r="AA136">
        <v>70</v>
      </c>
      <c r="AB136">
        <v>70</v>
      </c>
      <c r="AC136">
        <v>70</v>
      </c>
    </row>
    <row r="137" spans="12:29" x14ac:dyDescent="0.2">
      <c r="M137" t="s">
        <v>1002</v>
      </c>
      <c r="N137">
        <v>40</v>
      </c>
      <c r="O137">
        <v>70</v>
      </c>
      <c r="P137">
        <v>40</v>
      </c>
      <c r="Q137">
        <v>70</v>
      </c>
      <c r="R137">
        <v>70</v>
      </c>
      <c r="S137">
        <v>70</v>
      </c>
      <c r="Z137">
        <v>70</v>
      </c>
      <c r="AA137">
        <v>70</v>
      </c>
      <c r="AB137">
        <v>70</v>
      </c>
      <c r="AC137">
        <v>70</v>
      </c>
    </row>
    <row r="138" spans="12:29" x14ac:dyDescent="0.2">
      <c r="M138" t="s">
        <v>1003</v>
      </c>
      <c r="N138">
        <v>70</v>
      </c>
      <c r="O138">
        <v>70</v>
      </c>
      <c r="P138">
        <v>40</v>
      </c>
      <c r="Q138">
        <v>70</v>
      </c>
      <c r="R138">
        <v>40</v>
      </c>
      <c r="S138">
        <v>70</v>
      </c>
      <c r="Z138">
        <v>70</v>
      </c>
      <c r="AA138">
        <v>70</v>
      </c>
      <c r="AB138">
        <v>70</v>
      </c>
      <c r="AC138">
        <v>70</v>
      </c>
    </row>
    <row r="142" spans="12:29" ht="15" x14ac:dyDescent="0.25">
      <c r="O142" s="213" t="s">
        <v>765</v>
      </c>
    </row>
    <row r="153" spans="4:12" ht="23.25" x14ac:dyDescent="0.35">
      <c r="D153" s="491"/>
      <c r="E153" s="565"/>
      <c r="F153" s="490"/>
      <c r="G153" s="490"/>
      <c r="H153" s="490"/>
      <c r="I153" s="490"/>
      <c r="J153" s="490"/>
      <c r="K153" s="490"/>
      <c r="L153" s="490"/>
    </row>
    <row r="154" spans="4:12" x14ac:dyDescent="0.2">
      <c r="I154" s="490"/>
      <c r="J154" s="490"/>
      <c r="K154" s="490"/>
      <c r="L154" s="490"/>
    </row>
    <row r="155" spans="4:12" x14ac:dyDescent="0.2">
      <c r="I155" s="490"/>
      <c r="J155" s="490"/>
      <c r="K155" s="490"/>
      <c r="L155" s="490"/>
    </row>
    <row r="156" spans="4:12" x14ac:dyDescent="0.2">
      <c r="I156" s="490"/>
      <c r="J156" s="490"/>
      <c r="K156" s="490"/>
      <c r="L156" s="490"/>
    </row>
    <row r="157" spans="4:12" x14ac:dyDescent="0.2">
      <c r="I157" s="490"/>
    </row>
    <row r="158" spans="4:12" x14ac:dyDescent="0.2">
      <c r="I158" s="490"/>
    </row>
    <row r="159" spans="4:12" x14ac:dyDescent="0.2">
      <c r="I159" s="490"/>
    </row>
    <row r="160" spans="4:12" x14ac:dyDescent="0.2">
      <c r="I160" s="490"/>
    </row>
    <row r="161" spans="4:12" x14ac:dyDescent="0.2">
      <c r="I161" s="490"/>
      <c r="J161" s="490"/>
      <c r="K161" s="490"/>
      <c r="L161" s="490"/>
    </row>
    <row r="162" spans="4:12" x14ac:dyDescent="0.2">
      <c r="I162" s="490"/>
      <c r="J162" s="490"/>
      <c r="K162" s="490"/>
      <c r="L162" s="490"/>
    </row>
    <row r="163" spans="4:12" x14ac:dyDescent="0.2">
      <c r="I163" s="490"/>
      <c r="J163" s="490"/>
      <c r="K163" s="490"/>
      <c r="L163" s="490"/>
    </row>
    <row r="164" spans="4:12" x14ac:dyDescent="0.2">
      <c r="I164" s="490"/>
      <c r="J164" s="490"/>
      <c r="K164" s="490"/>
      <c r="L164" s="490"/>
    </row>
    <row r="165" spans="4:12" x14ac:dyDescent="0.2">
      <c r="I165" s="490"/>
      <c r="J165" s="490"/>
      <c r="K165" s="490"/>
      <c r="L165" s="490"/>
    </row>
    <row r="166" spans="4:12" x14ac:dyDescent="0.2">
      <c r="I166" s="490"/>
      <c r="J166" s="490"/>
      <c r="K166" s="490"/>
      <c r="L166" s="490"/>
    </row>
    <row r="167" spans="4:12" x14ac:dyDescent="0.2">
      <c r="I167" s="490"/>
      <c r="J167" s="490"/>
      <c r="K167" s="490"/>
      <c r="L167" s="490"/>
    </row>
    <row r="168" spans="4:12" x14ac:dyDescent="0.2">
      <c r="I168" s="490"/>
      <c r="J168" s="490"/>
      <c r="K168" s="490"/>
      <c r="L168" s="490"/>
    </row>
    <row r="169" spans="4:12" x14ac:dyDescent="0.2">
      <c r="I169" s="490"/>
      <c r="J169" s="490"/>
      <c r="K169" s="490"/>
      <c r="L169" s="490"/>
    </row>
    <row r="170" spans="4:12" x14ac:dyDescent="0.2">
      <c r="I170" s="490"/>
      <c r="J170" s="490"/>
      <c r="K170" s="490"/>
      <c r="L170" s="490"/>
    </row>
    <row r="171" spans="4:12" x14ac:dyDescent="0.2">
      <c r="D171" s="490"/>
      <c r="E171" s="490"/>
      <c r="F171" s="490"/>
      <c r="G171" s="490"/>
      <c r="H171" s="490"/>
      <c r="I171" s="490"/>
      <c r="J171" s="490"/>
      <c r="K171" s="490"/>
      <c r="L171" s="490"/>
    </row>
    <row r="172" spans="4:12" x14ac:dyDescent="0.2">
      <c r="D172" s="490"/>
      <c r="E172" s="490"/>
      <c r="F172" s="490"/>
      <c r="G172" s="490"/>
      <c r="H172" s="490"/>
      <c r="I172" s="490"/>
      <c r="J172" s="490"/>
      <c r="K172" s="490"/>
      <c r="L172" s="490"/>
    </row>
    <row r="173" spans="4:12" x14ac:dyDescent="0.2">
      <c r="D173" s="490"/>
      <c r="E173" s="490"/>
      <c r="F173" s="490"/>
      <c r="G173" s="490"/>
      <c r="H173" s="490"/>
      <c r="I173" s="490"/>
      <c r="J173" s="490"/>
      <c r="K173" s="490"/>
      <c r="L173" s="490"/>
    </row>
    <row r="174" spans="4:12" x14ac:dyDescent="0.2">
      <c r="D174" s="490"/>
      <c r="K174" s="490"/>
      <c r="L174" s="490"/>
    </row>
    <row r="175" spans="4:12" x14ac:dyDescent="0.2">
      <c r="D175" s="490"/>
      <c r="K175" s="490"/>
      <c r="L175" s="490"/>
    </row>
    <row r="176" spans="4:12" x14ac:dyDescent="0.2">
      <c r="D176" s="490"/>
      <c r="K176" s="490"/>
      <c r="L176" s="490"/>
    </row>
    <row r="177" spans="4:12" x14ac:dyDescent="0.2">
      <c r="D177" s="490"/>
      <c r="K177" s="490"/>
      <c r="L177" s="490"/>
    </row>
    <row r="178" spans="4:12" x14ac:dyDescent="0.2">
      <c r="D178" s="490"/>
      <c r="K178" s="490"/>
      <c r="L178" s="490"/>
    </row>
    <row r="179" spans="4:12" x14ac:dyDescent="0.2">
      <c r="D179" s="490"/>
      <c r="K179" s="490"/>
      <c r="L179" s="490"/>
    </row>
  </sheetData>
  <autoFilter ref="B79:I101" xr:uid="{00000000-0009-0000-0000-000009000000}"/>
  <sortState xmlns:xlrd2="http://schemas.microsoft.com/office/spreadsheetml/2017/richdata2" ref="C125:M134">
    <sortCondition ref="D125:D134"/>
  </sortState>
  <mergeCells count="39">
    <mergeCell ref="A122:B122"/>
    <mergeCell ref="A3:F3"/>
    <mergeCell ref="A53:A54"/>
    <mergeCell ref="B53:B54"/>
    <mergeCell ref="A64:B64"/>
    <mergeCell ref="D64:J64"/>
    <mergeCell ref="E56:F56"/>
    <mergeCell ref="E57:F57"/>
    <mergeCell ref="J6:M7"/>
    <mergeCell ref="J5:O5"/>
    <mergeCell ref="J8:M8"/>
    <mergeCell ref="A56:A57"/>
    <mergeCell ref="C56:D56"/>
    <mergeCell ref="C57:D57"/>
    <mergeCell ref="A66:A67"/>
    <mergeCell ref="B104:F104"/>
    <mergeCell ref="Y77:AC78"/>
    <mergeCell ref="N76:P77"/>
    <mergeCell ref="Q76:S77"/>
    <mergeCell ref="T76:V77"/>
    <mergeCell ref="N78:P78"/>
    <mergeCell ref="Q78:S78"/>
    <mergeCell ref="B56:B57"/>
    <mergeCell ref="C58:D58"/>
    <mergeCell ref="C59:D59"/>
    <mergeCell ref="E58:F58"/>
    <mergeCell ref="E59:F59"/>
    <mergeCell ref="B82:B83"/>
    <mergeCell ref="B92:B101"/>
    <mergeCell ref="B84:B91"/>
    <mergeCell ref="B80:B81"/>
    <mergeCell ref="N106:P106"/>
    <mergeCell ref="T104:V105"/>
    <mergeCell ref="T106:V106"/>
    <mergeCell ref="J9:M9"/>
    <mergeCell ref="J10:M10"/>
    <mergeCell ref="T78:V78"/>
    <mergeCell ref="L80:L88"/>
    <mergeCell ref="N105:P105"/>
  </mergeCells>
  <conditionalFormatting sqref="S10">
    <cfRule type="expression" dxfId="9" priority="1">
      <formula>$C$14="SS"</formula>
    </cfRule>
  </conditionalFormatting>
  <dataValidations count="6">
    <dataValidation type="list" allowBlank="1" showInputMessage="1" showErrorMessage="1" sqref="L96" xr:uid="{00000000-0002-0000-0900-000000000000}">
      <formula1>Dist_from_coast</formula1>
    </dataValidation>
    <dataValidation type="list" allowBlank="1" showInputMessage="1" showErrorMessage="1" sqref="L94" xr:uid="{00000000-0002-0000-0900-000001000000}">
      <formula1>Wind_Zones</formula1>
    </dataValidation>
    <dataValidation type="list" allowBlank="1" showInputMessage="1" showErrorMessage="1" sqref="L93" xr:uid="{00000000-0002-0000-0900-000002000000}">
      <formula1>Ice_Zones</formula1>
    </dataValidation>
    <dataValidation type="list" allowBlank="1" showInputMessage="1" showErrorMessage="1" sqref="R6" xr:uid="{00000000-0002-0000-0900-000003000000}">
      <formula1>$A$34:$A$57</formula1>
    </dataValidation>
    <dataValidation type="list" allowBlank="1" showInputMessage="1" showErrorMessage="1" sqref="R8" xr:uid="{00000000-0002-0000-0900-000004000000}">
      <formula1>$A$23:$A$31</formula1>
    </dataValidation>
    <dataValidation type="list" allowBlank="1" showInputMessage="1" showErrorMessage="1" sqref="R7" xr:uid="{00000000-0002-0000-0900-000005000000}">
      <formula1>$A$38:$A$44</formula1>
    </dataValidation>
  </dataValidations>
  <pageMargins left="0.7" right="0.7" top="0.75" bottom="0.75" header="0.3" footer="0.3"/>
  <pageSetup paperSize="9" orientation="portrait" r:id="rId1"/>
  <ignoredErrors>
    <ignoredError sqref="O55" formula="1"/>
    <ignoredError sqref="O94:V94" formulaRange="1"/>
  </ignoredErrors>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C11A41-23C3-4B5B-A4D3-0B59ED1A1C11}">
  <sheetPr filterMode="1">
    <tabColor rgb="FF00B0F0"/>
    <pageSetUpPr fitToPage="1"/>
  </sheetPr>
  <dimension ref="A1:AB119"/>
  <sheetViews>
    <sheetView topLeftCell="A8" zoomScaleNormal="100" workbookViewId="0">
      <pane ySplit="1" topLeftCell="A13" activePane="bottomLeft" state="frozen"/>
      <selection activeCell="A8" sqref="A8"/>
      <selection pane="bottomLeft" activeCell="A59" sqref="A59"/>
    </sheetView>
  </sheetViews>
  <sheetFormatPr defaultColWidth="8.85546875" defaultRowHeight="12.75" x14ac:dyDescent="0.2"/>
  <cols>
    <col min="1" max="1" width="35.7109375" customWidth="1"/>
    <col min="2" max="2" width="13.85546875" style="6" customWidth="1"/>
    <col min="3" max="3" width="9.42578125" customWidth="1"/>
    <col min="4" max="4" width="8.85546875" customWidth="1"/>
    <col min="5" max="5" width="6.85546875" customWidth="1"/>
    <col min="6" max="6" width="6.7109375" customWidth="1"/>
    <col min="7" max="7" width="7.85546875" customWidth="1"/>
    <col min="8" max="8" width="13.7109375" customWidth="1"/>
    <col min="13" max="18" width="7.7109375" customWidth="1"/>
    <col min="19" max="19" width="28.42578125" customWidth="1"/>
    <col min="20" max="20" width="11.28515625" customWidth="1"/>
    <col min="21" max="21" width="10.28515625" customWidth="1"/>
  </cols>
  <sheetData>
    <row r="1" spans="1:25" ht="15.75" x14ac:dyDescent="0.2">
      <c r="A1" s="442" t="s">
        <v>123</v>
      </c>
      <c r="B1" s="443"/>
      <c r="C1" s="444" t="s">
        <v>137</v>
      </c>
      <c r="D1" s="122"/>
      <c r="E1" s="444" t="s">
        <v>139</v>
      </c>
      <c r="F1" s="122"/>
      <c r="G1" s="122"/>
      <c r="H1" s="444" t="s">
        <v>141</v>
      </c>
      <c r="I1" s="122"/>
      <c r="J1" s="122"/>
      <c r="K1" s="444" t="s">
        <v>147</v>
      </c>
      <c r="L1" s="163"/>
      <c r="M1" s="163"/>
      <c r="N1" s="445" t="s">
        <v>149</v>
      </c>
    </row>
    <row r="2" spans="1:25" ht="24" thickBot="1" x14ac:dyDescent="0.4">
      <c r="A2" s="193" t="s">
        <v>267</v>
      </c>
      <c r="D2" s="193" t="str">
        <f>Control!$B$4&amp;" "&amp;Control!$D$4&amp;" Rev "&amp;Control!$H$4</f>
        <v>GIP_Standard T1-T3 Rev A</v>
      </c>
    </row>
    <row r="3" spans="1:25" ht="21.75" thickTop="1" thickBot="1" x14ac:dyDescent="0.35">
      <c r="A3" s="171"/>
      <c r="B3" s="446"/>
      <c r="C3" s="447"/>
      <c r="D3" s="122"/>
      <c r="E3" s="122"/>
      <c r="F3" s="122"/>
      <c r="G3" s="122"/>
      <c r="H3" s="448" t="s">
        <v>268</v>
      </c>
      <c r="I3" s="449">
        <f>Control!D22</f>
        <v>800</v>
      </c>
      <c r="J3" s="450" t="s">
        <v>269</v>
      </c>
      <c r="K3" s="451" t="str">
        <f>IF(Control!D5="Y","FOR VULNERABILITY ANALYSES","FOR DEFAULT TP.DL 12.01 ANALYSES")</f>
        <v>FOR DEFAULT TP.DL 12.01 ANALYSES</v>
      </c>
      <c r="L3" s="163"/>
      <c r="M3" s="163"/>
      <c r="P3" s="122"/>
      <c r="Q3" s="122"/>
      <c r="R3" s="122"/>
      <c r="S3" s="122"/>
      <c r="T3" s="122"/>
      <c r="U3" s="122"/>
      <c r="V3" s="122"/>
      <c r="W3" s="122"/>
    </row>
    <row r="4" spans="1:25" ht="15" thickTop="1" x14ac:dyDescent="0.2">
      <c r="A4" s="526" t="str">
        <f>Control!B3</f>
        <v>PLS-CADD WC &amp; LC Generator Master Rev H.xlsx</v>
      </c>
      <c r="D4" s="122"/>
      <c r="E4" s="453" t="s">
        <v>270</v>
      </c>
      <c r="F4" s="454"/>
      <c r="G4" s="316"/>
      <c r="H4" s="316"/>
      <c r="I4" s="316"/>
      <c r="J4" s="316"/>
      <c r="K4" s="317"/>
      <c r="L4" s="317"/>
      <c r="M4" s="317"/>
      <c r="N4" s="318"/>
      <c r="O4" s="318"/>
      <c r="P4" s="318"/>
      <c r="Q4" s="318"/>
      <c r="R4" s="318"/>
      <c r="S4" s="318"/>
      <c r="T4" s="318"/>
      <c r="V4" s="122"/>
      <c r="W4" s="122"/>
    </row>
    <row r="5" spans="1:25" ht="15.75" x14ac:dyDescent="0.2">
      <c r="A5" s="452"/>
      <c r="B5" s="452"/>
      <c r="C5" s="452"/>
      <c r="D5" s="122"/>
      <c r="E5" s="454"/>
      <c r="F5" s="455" t="s">
        <v>271</v>
      </c>
      <c r="G5" s="320"/>
      <c r="H5" s="320"/>
      <c r="I5" s="320"/>
      <c r="J5" s="320"/>
      <c r="K5" s="321"/>
      <c r="L5" s="321"/>
      <c r="M5" s="321"/>
      <c r="N5" s="322"/>
      <c r="O5" s="322"/>
      <c r="P5" s="322"/>
      <c r="Q5" s="322"/>
      <c r="R5" s="322"/>
      <c r="S5" s="322"/>
      <c r="T5" s="322"/>
      <c r="V5" s="122"/>
      <c r="W5" s="122"/>
    </row>
    <row r="6" spans="1:25" ht="16.5" thickBot="1" x14ac:dyDescent="0.25">
      <c r="B6" s="446"/>
      <c r="C6" s="447"/>
      <c r="D6" s="122"/>
      <c r="E6" s="316"/>
      <c r="F6" s="320"/>
      <c r="G6" s="456" t="s">
        <v>272</v>
      </c>
      <c r="H6" s="324"/>
      <c r="I6" s="324"/>
      <c r="J6" s="324"/>
      <c r="K6" s="325"/>
      <c r="L6" s="325"/>
      <c r="M6" s="325"/>
      <c r="N6" s="326"/>
      <c r="O6" s="324"/>
      <c r="P6" s="324"/>
      <c r="Q6" s="324"/>
      <c r="R6" s="324"/>
      <c r="S6" s="324"/>
      <c r="T6" s="324"/>
      <c r="U6" s="122"/>
      <c r="V6" s="122"/>
      <c r="W6" s="122"/>
      <c r="X6" s="122"/>
    </row>
    <row r="7" spans="1:25" ht="33.75" thickBot="1" x14ac:dyDescent="0.4">
      <c r="A7" s="457" t="s">
        <v>273</v>
      </c>
      <c r="B7" s="458"/>
      <c r="C7" s="459"/>
      <c r="D7" s="459"/>
      <c r="E7" s="199" t="s">
        <v>274</v>
      </c>
      <c r="F7" s="284"/>
      <c r="G7" s="196"/>
      <c r="H7" s="189" t="s">
        <v>275</v>
      </c>
      <c r="I7" s="183"/>
      <c r="J7" s="183"/>
      <c r="K7" s="183"/>
      <c r="L7" s="183"/>
      <c r="M7" s="183"/>
      <c r="N7" s="183"/>
      <c r="O7" s="183"/>
      <c r="P7" s="183"/>
      <c r="Q7" s="183"/>
      <c r="R7" s="183"/>
      <c r="S7" s="183"/>
      <c r="T7" s="184"/>
      <c r="U7" s="201"/>
      <c r="V7" s="1"/>
      <c r="W7" s="122"/>
      <c r="X7" s="122"/>
      <c r="Y7" s="122"/>
    </row>
    <row r="8" spans="1:25" ht="93.75" customHeight="1" thickBot="1" x14ac:dyDescent="0.25">
      <c r="A8" s="174" t="s">
        <v>276</v>
      </c>
      <c r="B8" s="175" t="s">
        <v>277</v>
      </c>
      <c r="C8" s="175" t="s">
        <v>278</v>
      </c>
      <c r="D8" s="175" t="s">
        <v>279</v>
      </c>
      <c r="E8" s="460" t="s">
        <v>280</v>
      </c>
      <c r="F8" s="461" t="s">
        <v>281</v>
      </c>
      <c r="G8" s="462" t="s">
        <v>282</v>
      </c>
      <c r="H8" s="185" t="s">
        <v>283</v>
      </c>
      <c r="I8" s="186" t="s">
        <v>284</v>
      </c>
      <c r="J8" s="187" t="s">
        <v>285</v>
      </c>
      <c r="K8" s="187" t="s">
        <v>286</v>
      </c>
      <c r="L8" s="187" t="s">
        <v>287</v>
      </c>
      <c r="M8" s="187" t="s">
        <v>288</v>
      </c>
      <c r="N8" s="187" t="s">
        <v>289</v>
      </c>
      <c r="O8" s="187" t="s">
        <v>290</v>
      </c>
      <c r="P8" s="187" t="s">
        <v>291</v>
      </c>
      <c r="Q8" s="187" t="s">
        <v>292</v>
      </c>
      <c r="R8" s="187" t="s">
        <v>293</v>
      </c>
      <c r="S8" s="187" t="s">
        <v>294</v>
      </c>
      <c r="T8" s="188" t="s">
        <v>295</v>
      </c>
      <c r="U8" s="202"/>
      <c r="V8" s="166" t="s">
        <v>296</v>
      </c>
      <c r="W8" s="122"/>
      <c r="X8" s="122"/>
      <c r="Y8" s="122"/>
    </row>
    <row r="9" spans="1:25" ht="15" hidden="1" x14ac:dyDescent="0.2">
      <c r="A9" s="463" t="s">
        <v>297</v>
      </c>
      <c r="B9" s="464"/>
      <c r="C9" s="464"/>
      <c r="D9" s="465"/>
      <c r="E9" s="466" t="s">
        <v>22</v>
      </c>
      <c r="F9" s="467" t="s">
        <v>22</v>
      </c>
      <c r="G9" s="468" t="s">
        <v>22</v>
      </c>
      <c r="H9" s="469"/>
      <c r="I9" s="470"/>
      <c r="J9" s="470"/>
      <c r="K9" s="470"/>
      <c r="L9" s="470"/>
      <c r="M9" s="470"/>
      <c r="N9" s="470"/>
      <c r="O9" s="470"/>
      <c r="P9" s="470"/>
      <c r="Q9" s="470"/>
      <c r="R9" s="470"/>
      <c r="S9" s="470"/>
      <c r="T9" s="470"/>
      <c r="U9" s="202"/>
      <c r="V9" s="122"/>
      <c r="W9" s="122"/>
      <c r="X9" s="122"/>
      <c r="Y9" s="122"/>
    </row>
    <row r="10" spans="1:25" s="6" customFormat="1" ht="14.25" hidden="1" x14ac:dyDescent="0.2">
      <c r="A10" s="200" t="s">
        <v>298</v>
      </c>
      <c r="B10" s="165" t="s">
        <v>299</v>
      </c>
      <c r="C10" s="164">
        <v>1000</v>
      </c>
      <c r="D10" s="164">
        <v>1000</v>
      </c>
      <c r="E10" s="319" t="str">
        <f>IF(D10=Selected_Line_Reliability,1,IF(Control!$D$5="Y",1,"-"))</f>
        <v>-</v>
      </c>
      <c r="F10" s="323" t="str">
        <f>LEFT(Control!$D$23,1)</f>
        <v>A</v>
      </c>
      <c r="G10" s="327" t="s">
        <v>118</v>
      </c>
      <c r="H10" s="176" t="str">
        <f>IF(G10=0,B10&amp;TEXT(C10,"0000"),B10&amp;TEXT(C10,"0000")&amp;IF(C10="-","","_"&amp;LEFT(Control!$D$23,1)&amp;LEFT(Control!$D$22,LEN(Control!$D$22)-2)))</f>
        <v>MW1000_A8</v>
      </c>
      <c r="I10" s="177">
        <v>0.6</v>
      </c>
      <c r="J10" s="178">
        <f>INDEX(Ref!$D$7:$G$40,MATCH('Weather Cases All'!D10,Ref!$C$7:$C$40,0),MATCH(LEFT(Control!$D$23,1)&amp;"MW",Ref!$D$6:$G$6,0))</f>
        <v>1</v>
      </c>
      <c r="K10" s="178">
        <f>J10^2*0.6</f>
        <v>0.6</v>
      </c>
      <c r="L10" s="473">
        <v>0</v>
      </c>
      <c r="M10" s="179">
        <v>0</v>
      </c>
      <c r="N10" s="179">
        <v>0</v>
      </c>
      <c r="O10" s="179">
        <f>Ref!$L$55</f>
        <v>5</v>
      </c>
      <c r="P10" s="204" t="s">
        <v>300</v>
      </c>
      <c r="Q10" s="179">
        <v>1</v>
      </c>
      <c r="R10" s="204" t="s">
        <v>300</v>
      </c>
      <c r="S10" s="197" t="s">
        <v>301</v>
      </c>
      <c r="T10" s="181">
        <f>IF(L10&gt;0,1.2,1)</f>
        <v>1</v>
      </c>
      <c r="U10" s="203"/>
      <c r="V10" s="166" t="s">
        <v>302</v>
      </c>
      <c r="W10" s="172" t="s">
        <v>303</v>
      </c>
      <c r="X10" s="166"/>
      <c r="Y10" s="166"/>
    </row>
    <row r="11" spans="1:25" s="6" customFormat="1" ht="14.25" hidden="1" x14ac:dyDescent="0.2">
      <c r="A11" s="200" t="s">
        <v>298</v>
      </c>
      <c r="B11" s="165" t="s">
        <v>299</v>
      </c>
      <c r="C11" s="164">
        <v>500</v>
      </c>
      <c r="D11" s="164">
        <v>500</v>
      </c>
      <c r="E11" s="319" t="str">
        <f>IF(D11=Selected_Line_Reliability,1,IF(Control!$D$5="Y",1,"-"))</f>
        <v>-</v>
      </c>
      <c r="F11" s="323" t="str">
        <f>LEFT(Control!$D$23,1)</f>
        <v>A</v>
      </c>
      <c r="G11" s="327" t="s">
        <v>118</v>
      </c>
      <c r="H11" s="176" t="str">
        <f>IF(G11=0,B11&amp;TEXT(C11,"0000"),B11&amp;TEXT(C11,"0000")&amp;IF(C11="-","","_"&amp;LEFT(Control!$D$23,1)&amp;LEFT(Control!$D$22,LEN(Control!$D$22)-2)))</f>
        <v>MW0500_A8</v>
      </c>
      <c r="I11" s="177">
        <v>0.6</v>
      </c>
      <c r="J11" s="178">
        <f>INDEX(Ref!$D$7:$G$40,MATCH('Weather Cases All'!D11,Ref!$C$7:$C$40,0),MATCH(LEFT(Control!$D$23,1)&amp;"MW",Ref!$D$6:$G$6,0))</f>
        <v>0.97799999999999998</v>
      </c>
      <c r="K11" s="178">
        <f t="shared" ref="K11:K24" si="0">J11^2*0.6</f>
        <v>0.57389040000000002</v>
      </c>
      <c r="L11" s="473">
        <v>0</v>
      </c>
      <c r="M11" s="179">
        <v>0</v>
      </c>
      <c r="N11" s="179">
        <v>0</v>
      </c>
      <c r="O11" s="179">
        <f>Ref!$L$55</f>
        <v>5</v>
      </c>
      <c r="P11" s="204" t="s">
        <v>300</v>
      </c>
      <c r="Q11" s="179">
        <v>1</v>
      </c>
      <c r="R11" s="204" t="s">
        <v>300</v>
      </c>
      <c r="S11" s="197" t="s">
        <v>301</v>
      </c>
      <c r="T11" s="181">
        <f t="shared" ref="T11:T86" si="1">IF(L11&gt;0,1.2,1)</f>
        <v>1</v>
      </c>
      <c r="U11" s="203"/>
      <c r="V11" s="166" t="s">
        <v>302</v>
      </c>
      <c r="W11" s="172"/>
      <c r="X11" s="166"/>
      <c r="Y11" s="166"/>
    </row>
    <row r="12" spans="1:25" s="6" customFormat="1" ht="14.25" hidden="1" x14ac:dyDescent="0.2">
      <c r="A12" s="200" t="s">
        <v>298</v>
      </c>
      <c r="B12" s="165" t="s">
        <v>299</v>
      </c>
      <c r="C12" s="164">
        <v>400</v>
      </c>
      <c r="D12" s="164">
        <v>400</v>
      </c>
      <c r="E12" s="319" t="str">
        <f>IF(D12=Selected_Line_Reliability,1,IF(Control!$D$5="Y",1,"-"))</f>
        <v>-</v>
      </c>
      <c r="F12" s="323" t="str">
        <f>LEFT(Control!$D$23,1)</f>
        <v>A</v>
      </c>
      <c r="G12" s="327" t="s">
        <v>118</v>
      </c>
      <c r="H12" s="176" t="str">
        <f>IF(G12=0,B12&amp;TEXT(C12,"0000"),B12&amp;TEXT(C12,"0000")&amp;IF(C12="-","","_"&amp;LEFT(Control!$D$23,1)&amp;LEFT(Control!$D$22,LEN(Control!$D$22)-2)))</f>
        <v>MW0400_A8</v>
      </c>
      <c r="I12" s="177">
        <v>0.6</v>
      </c>
      <c r="J12" s="178">
        <f>INDEX(Ref!$D$7:$G$40,MATCH('Weather Cases All'!D12,Ref!$C$7:$C$40,0),MATCH(LEFT(Control!$D$23,1)&amp;"MW",Ref!$D$6:$G$6,0))</f>
        <v>0.96699999999999997</v>
      </c>
      <c r="K12" s="178">
        <f t="shared" si="0"/>
        <v>0.56105339999999992</v>
      </c>
      <c r="L12" s="473">
        <v>0</v>
      </c>
      <c r="M12" s="179">
        <v>0</v>
      </c>
      <c r="N12" s="179">
        <v>0</v>
      </c>
      <c r="O12" s="179">
        <f>Ref!$L$55</f>
        <v>5</v>
      </c>
      <c r="P12" s="204" t="s">
        <v>300</v>
      </c>
      <c r="Q12" s="179">
        <v>1</v>
      </c>
      <c r="R12" s="204" t="s">
        <v>300</v>
      </c>
      <c r="S12" s="197" t="s">
        <v>301</v>
      </c>
      <c r="T12" s="181">
        <f t="shared" si="1"/>
        <v>1</v>
      </c>
      <c r="U12" s="203"/>
      <c r="V12" s="166" t="s">
        <v>302</v>
      </c>
      <c r="W12" s="172"/>
      <c r="X12" s="166"/>
      <c r="Y12" s="166"/>
    </row>
    <row r="13" spans="1:25" s="6" customFormat="1" ht="14.25" x14ac:dyDescent="0.2">
      <c r="A13" s="200" t="s">
        <v>298</v>
      </c>
      <c r="B13" s="165" t="s">
        <v>299</v>
      </c>
      <c r="C13" s="164">
        <v>300</v>
      </c>
      <c r="D13" s="164">
        <v>300</v>
      </c>
      <c r="E13" s="319">
        <f>IF(D13=Selected_Line_Reliability,1,IF(Control!$D$5="Y",1,"-"))</f>
        <v>1</v>
      </c>
      <c r="F13" s="323" t="str">
        <f>LEFT(Control!$D$23,1)</f>
        <v>A</v>
      </c>
      <c r="G13" s="327" t="s">
        <v>118</v>
      </c>
      <c r="H13" s="176" t="str">
        <f>IF(G13=0,B13&amp;TEXT(C13,"0000"),B13&amp;TEXT(C13,"0000")&amp;IF(C13="-","","_"&amp;LEFT(Control!$D$23,1)&amp;LEFT(Control!$D$22,LEN(Control!$D$22)-2)))</f>
        <v>MW0300_A8</v>
      </c>
      <c r="I13" s="177">
        <v>0.6</v>
      </c>
      <c r="J13" s="178">
        <f>INDEX(Ref!$D$7:$G$40,MATCH('Weather Cases All'!D13,Ref!$C$7:$C$40,0),MATCH(LEFT(Control!$D$23,1)&amp;"MW",Ref!$D$6:$G$6,0))</f>
        <v>0.95299999999999996</v>
      </c>
      <c r="K13" s="178">
        <f t="shared" si="0"/>
        <v>0.54492539999999989</v>
      </c>
      <c r="L13" s="473">
        <v>0</v>
      </c>
      <c r="M13" s="179">
        <v>0</v>
      </c>
      <c r="N13" s="179">
        <v>0</v>
      </c>
      <c r="O13" s="179">
        <f>Ref!$L$55</f>
        <v>5</v>
      </c>
      <c r="P13" s="204" t="s">
        <v>300</v>
      </c>
      <c r="Q13" s="179">
        <v>1</v>
      </c>
      <c r="R13" s="204" t="s">
        <v>300</v>
      </c>
      <c r="S13" s="197" t="s">
        <v>301</v>
      </c>
      <c r="T13" s="181">
        <f t="shared" si="1"/>
        <v>1</v>
      </c>
      <c r="U13" s="203"/>
      <c r="V13" s="166" t="s">
        <v>302</v>
      </c>
      <c r="W13" s="172"/>
      <c r="X13" s="166"/>
      <c r="Y13" s="166"/>
    </row>
    <row r="14" spans="1:25" s="6" customFormat="1" ht="14.25" hidden="1" x14ac:dyDescent="0.2">
      <c r="A14" s="200" t="s">
        <v>298</v>
      </c>
      <c r="B14" s="165" t="s">
        <v>299</v>
      </c>
      <c r="C14" s="164">
        <v>250</v>
      </c>
      <c r="D14" s="164">
        <v>250</v>
      </c>
      <c r="E14" s="319" t="str">
        <f>IF(D14=Selected_Line_Reliability,1,IF(Control!$D$5="Y",1,"-"))</f>
        <v>-</v>
      </c>
      <c r="F14" s="323" t="str">
        <f>LEFT(Control!$D$23,1)</f>
        <v>A</v>
      </c>
      <c r="G14" s="327" t="s">
        <v>118</v>
      </c>
      <c r="H14" s="176" t="str">
        <f>IF(G14=0,B14&amp;TEXT(C14,"0000"),B14&amp;TEXT(C14,"0000")&amp;IF(C14="-","","_"&amp;LEFT(Control!$D$23,1)&amp;LEFT(Control!$D$22,LEN(Control!$D$22)-2)))</f>
        <v>MW0250_A8</v>
      </c>
      <c r="I14" s="177">
        <v>0.6</v>
      </c>
      <c r="J14" s="178">
        <f>INDEX(Ref!$D$7:$G$40,MATCH('Weather Cases All'!D14,Ref!$C$7:$C$40,0),MATCH(LEFT(Control!$D$23,1)&amp;"MW",Ref!$D$6:$G$6,0))</f>
        <v>0.94299999999999995</v>
      </c>
      <c r="K14" s="178">
        <f t="shared" si="0"/>
        <v>0.53354939999999995</v>
      </c>
      <c r="L14" s="473">
        <v>0</v>
      </c>
      <c r="M14" s="179">
        <v>0</v>
      </c>
      <c r="N14" s="179">
        <v>0</v>
      </c>
      <c r="O14" s="179">
        <f>Ref!$L$55</f>
        <v>5</v>
      </c>
      <c r="P14" s="204" t="s">
        <v>300</v>
      </c>
      <c r="Q14" s="179">
        <v>1</v>
      </c>
      <c r="R14" s="204" t="s">
        <v>300</v>
      </c>
      <c r="S14" s="197" t="s">
        <v>301</v>
      </c>
      <c r="T14" s="181">
        <f t="shared" si="1"/>
        <v>1</v>
      </c>
      <c r="U14" s="203"/>
      <c r="V14" s="166" t="s">
        <v>302</v>
      </c>
      <c r="W14" s="172"/>
      <c r="X14" s="166"/>
      <c r="Y14" s="166"/>
    </row>
    <row r="15" spans="1:25" s="6" customFormat="1" ht="14.25" hidden="1" x14ac:dyDescent="0.2">
      <c r="A15" s="200" t="s">
        <v>298</v>
      </c>
      <c r="B15" s="165" t="s">
        <v>299</v>
      </c>
      <c r="C15" s="164">
        <v>200</v>
      </c>
      <c r="D15" s="164">
        <v>200</v>
      </c>
      <c r="E15" s="319" t="str">
        <f>IF(D15=Selected_Line_Reliability,1,IF(Control!$D$5="Y",1,"-"))</f>
        <v>-</v>
      </c>
      <c r="F15" s="323" t="str">
        <f>LEFT(Control!$D$23,1)</f>
        <v>A</v>
      </c>
      <c r="G15" s="327" t="s">
        <v>118</v>
      </c>
      <c r="H15" s="176" t="str">
        <f>IF(G15=0,B15&amp;TEXT(C15,"0000"),B15&amp;TEXT(C15,"0000")&amp;IF(C15="-","","_"&amp;LEFT(Control!$D$23,1)&amp;LEFT(Control!$D$22,LEN(Control!$D$22)-2)))</f>
        <v>MW0200_A8</v>
      </c>
      <c r="I15" s="177">
        <v>0.6</v>
      </c>
      <c r="J15" s="178">
        <f>INDEX(Ref!$D$7:$G$40,MATCH('Weather Cases All'!D15,Ref!$C$7:$C$40,0),MATCH(LEFT(Control!$D$23,1)&amp;"MW",Ref!$D$6:$G$6,0))</f>
        <v>0.93200000000000005</v>
      </c>
      <c r="K15" s="178">
        <f t="shared" si="0"/>
        <v>0.52117440000000004</v>
      </c>
      <c r="L15" s="473">
        <v>0</v>
      </c>
      <c r="M15" s="179">
        <v>0</v>
      </c>
      <c r="N15" s="179">
        <v>0</v>
      </c>
      <c r="O15" s="179">
        <f>Ref!$L$55</f>
        <v>5</v>
      </c>
      <c r="P15" s="204" t="s">
        <v>300</v>
      </c>
      <c r="Q15" s="179">
        <v>1</v>
      </c>
      <c r="R15" s="204" t="s">
        <v>300</v>
      </c>
      <c r="S15" s="197" t="s">
        <v>301</v>
      </c>
      <c r="T15" s="181">
        <f t="shared" si="1"/>
        <v>1</v>
      </c>
      <c r="U15" s="203"/>
      <c r="V15" s="166" t="s">
        <v>302</v>
      </c>
      <c r="W15" s="172"/>
      <c r="X15" s="166"/>
      <c r="Y15" s="166"/>
    </row>
    <row r="16" spans="1:25" s="6" customFormat="1" ht="14.25" hidden="1" x14ac:dyDescent="0.2">
      <c r="A16" s="200" t="s">
        <v>298</v>
      </c>
      <c r="B16" s="165" t="s">
        <v>299</v>
      </c>
      <c r="C16" s="164">
        <v>150</v>
      </c>
      <c r="D16" s="164">
        <v>150</v>
      </c>
      <c r="E16" s="319" t="str">
        <f>IF(D16=Selected_Line_Reliability,1,IF(Control!$D$5="Y",1,"-"))</f>
        <v>-</v>
      </c>
      <c r="F16" s="323" t="str">
        <f>LEFT(Control!$D$23,1)</f>
        <v>A</v>
      </c>
      <c r="G16" s="327" t="s">
        <v>118</v>
      </c>
      <c r="H16" s="176" t="str">
        <f>IF(G16=0,B16&amp;TEXT(C16,"0000"),B16&amp;TEXT(C16,"0000")&amp;IF(C16="-","","_"&amp;LEFT(Control!$D$23,1)&amp;LEFT(Control!$D$22,LEN(Control!$D$22)-2)))</f>
        <v>MW0150_A8</v>
      </c>
      <c r="I16" s="177">
        <v>0.6</v>
      </c>
      <c r="J16" s="178">
        <f>INDEX(Ref!$D$7:$G$40,MATCH('Weather Cases All'!D16,Ref!$C$7:$C$40,0),MATCH(LEFT(Control!$D$23,1)&amp;"MW",Ref!$D$6:$G$6,0))</f>
        <v>0.91600000000000004</v>
      </c>
      <c r="K16" s="178">
        <f t="shared" si="0"/>
        <v>0.50343360000000004</v>
      </c>
      <c r="L16" s="473">
        <v>0</v>
      </c>
      <c r="M16" s="179">
        <v>0</v>
      </c>
      <c r="N16" s="179">
        <v>0</v>
      </c>
      <c r="O16" s="179">
        <f>Ref!$L$55</f>
        <v>5</v>
      </c>
      <c r="P16" s="204" t="s">
        <v>300</v>
      </c>
      <c r="Q16" s="179">
        <v>1</v>
      </c>
      <c r="R16" s="204" t="s">
        <v>300</v>
      </c>
      <c r="S16" s="197" t="s">
        <v>301</v>
      </c>
      <c r="T16" s="181">
        <f t="shared" si="1"/>
        <v>1</v>
      </c>
      <c r="U16" s="203"/>
      <c r="V16" s="166" t="s">
        <v>302</v>
      </c>
      <c r="W16" s="172"/>
      <c r="X16" s="166"/>
      <c r="Y16" s="166"/>
    </row>
    <row r="17" spans="1:25" s="6" customFormat="1" ht="14.25" hidden="1" x14ac:dyDescent="0.2">
      <c r="A17" s="200" t="s">
        <v>298</v>
      </c>
      <c r="B17" s="165" t="s">
        <v>299</v>
      </c>
      <c r="C17" s="164">
        <v>100</v>
      </c>
      <c r="D17" s="164">
        <v>100</v>
      </c>
      <c r="E17" s="319" t="str">
        <f>IF(D17=Selected_Line_Reliability,1,IF(Control!$D$5="Y",1,"-"))</f>
        <v>-</v>
      </c>
      <c r="F17" s="323" t="str">
        <f>LEFT(Control!$D$23,1)</f>
        <v>A</v>
      </c>
      <c r="G17" s="327" t="s">
        <v>118</v>
      </c>
      <c r="H17" s="176" t="str">
        <f>IF(G17=0,B17&amp;TEXT(C17,"0000"),B17&amp;TEXT(C17,"0000")&amp;IF(C17="-","","_"&amp;LEFT(Control!$D$23,1)&amp;LEFT(Control!$D$22,LEN(Control!$D$22)-2)))</f>
        <v>MW0100_A8</v>
      </c>
      <c r="I17" s="177">
        <v>0.6</v>
      </c>
      <c r="J17" s="178">
        <f>INDEX(Ref!$D$7:$G$40,MATCH('Weather Cases All'!D17,Ref!$C$7:$C$40,0),MATCH(LEFT(Control!$D$23,1)&amp;"MW",Ref!$D$6:$G$6,0))</f>
        <v>0.89400000000000002</v>
      </c>
      <c r="K17" s="178">
        <f t="shared" si="0"/>
        <v>0.47954160000000001</v>
      </c>
      <c r="L17" s="473">
        <v>0</v>
      </c>
      <c r="M17" s="179">
        <v>0</v>
      </c>
      <c r="N17" s="179">
        <v>0</v>
      </c>
      <c r="O17" s="179">
        <f>Ref!$L$55</f>
        <v>5</v>
      </c>
      <c r="P17" s="204" t="s">
        <v>300</v>
      </c>
      <c r="Q17" s="179">
        <v>1</v>
      </c>
      <c r="R17" s="204" t="s">
        <v>300</v>
      </c>
      <c r="S17" s="197" t="s">
        <v>301</v>
      </c>
      <c r="T17" s="181">
        <f t="shared" si="1"/>
        <v>1</v>
      </c>
      <c r="U17" s="203"/>
      <c r="V17" s="166" t="s">
        <v>302</v>
      </c>
      <c r="W17" s="172" t="s">
        <v>303</v>
      </c>
      <c r="X17" s="166"/>
      <c r="Y17" s="166"/>
    </row>
    <row r="18" spans="1:25" s="6" customFormat="1" ht="14.25" hidden="1" x14ac:dyDescent="0.2">
      <c r="A18" s="200" t="s">
        <v>298</v>
      </c>
      <c r="B18" s="165" t="s">
        <v>299</v>
      </c>
      <c r="C18" s="164">
        <v>75</v>
      </c>
      <c r="D18" s="164">
        <v>75</v>
      </c>
      <c r="E18" s="319" t="str">
        <f>IF(D18=Selected_Line_Reliability,1,IF(Control!$D$5="Y",1,"-"))</f>
        <v>-</v>
      </c>
      <c r="F18" s="323" t="str">
        <f>LEFT(Control!$D$23,1)</f>
        <v>A</v>
      </c>
      <c r="G18" s="327" t="s">
        <v>118</v>
      </c>
      <c r="H18" s="176" t="str">
        <f>IF(G18=0,B18&amp;TEXT(C18,"0000"),B18&amp;TEXT(C18,"0000")&amp;IF(C18="-","","_"&amp;LEFT(Control!$D$23,1)&amp;LEFT(Control!$D$22,LEN(Control!$D$22)-2)))</f>
        <v>MW0075_A8</v>
      </c>
      <c r="I18" s="177">
        <v>0.6</v>
      </c>
      <c r="J18" s="178">
        <f>INDEX(Ref!$D$7:$G$40,MATCH('Weather Cases All'!D18,Ref!$C$7:$C$40,0),MATCH(LEFT(Control!$D$23,1)&amp;"MW",Ref!$D$6:$G$6,0))</f>
        <v>0.878</v>
      </c>
      <c r="K18" s="178">
        <f t="shared" si="0"/>
        <v>0.46253040000000001</v>
      </c>
      <c r="L18" s="473">
        <v>0</v>
      </c>
      <c r="M18" s="179">
        <v>0</v>
      </c>
      <c r="N18" s="179">
        <v>0</v>
      </c>
      <c r="O18" s="179">
        <f>Ref!$L$55</f>
        <v>5</v>
      </c>
      <c r="P18" s="204" t="s">
        <v>300</v>
      </c>
      <c r="Q18" s="179">
        <v>1</v>
      </c>
      <c r="R18" s="204" t="s">
        <v>300</v>
      </c>
      <c r="S18" s="197" t="s">
        <v>301</v>
      </c>
      <c r="T18" s="181">
        <f t="shared" si="1"/>
        <v>1</v>
      </c>
      <c r="U18" s="203"/>
      <c r="V18" s="166" t="s">
        <v>302</v>
      </c>
      <c r="W18" s="172"/>
      <c r="X18" s="166"/>
      <c r="Y18" s="166"/>
    </row>
    <row r="19" spans="1:25" s="6" customFormat="1" ht="14.25" hidden="1" x14ac:dyDescent="0.2">
      <c r="A19" s="200" t="s">
        <v>298</v>
      </c>
      <c r="B19" s="165" t="s">
        <v>299</v>
      </c>
      <c r="C19" s="164">
        <v>50</v>
      </c>
      <c r="D19" s="164">
        <v>50</v>
      </c>
      <c r="E19" s="319" t="str">
        <f>IF(D19=Selected_Line_Reliability,1,IF(Control!$D$5="Y",1,"-"))</f>
        <v>-</v>
      </c>
      <c r="F19" s="323" t="str">
        <f>LEFT(Control!$D$23,1)</f>
        <v>A</v>
      </c>
      <c r="G19" s="327" t="s">
        <v>118</v>
      </c>
      <c r="H19" s="176" t="str">
        <f>IF(G19=0,B19&amp;TEXT(C19,"0000"),B19&amp;TEXT(C19,"0000")&amp;IF(C19="-","","_"&amp;LEFT(Control!$D$23,1)&amp;LEFT(Control!$D$22,LEN(Control!$D$22)-2)))</f>
        <v>MW0050_A8</v>
      </c>
      <c r="I19" s="177">
        <v>0.6</v>
      </c>
      <c r="J19" s="178">
        <f>INDEX(Ref!$D$7:$G$40,MATCH('Weather Cases All'!D19,Ref!$C$7:$C$40,0),MATCH(LEFT(Control!$D$23,1)&amp;"MW",Ref!$D$6:$G$6,0))</f>
        <v>0.85399999999999998</v>
      </c>
      <c r="K19" s="178">
        <f t="shared" si="0"/>
        <v>0.43758959999999997</v>
      </c>
      <c r="L19" s="473">
        <v>0</v>
      </c>
      <c r="M19" s="179">
        <v>0</v>
      </c>
      <c r="N19" s="179">
        <v>0</v>
      </c>
      <c r="O19" s="179">
        <f>Ref!$L$55</f>
        <v>5</v>
      </c>
      <c r="P19" s="204" t="s">
        <v>300</v>
      </c>
      <c r="Q19" s="179">
        <v>1</v>
      </c>
      <c r="R19" s="204" t="s">
        <v>300</v>
      </c>
      <c r="S19" s="197" t="s">
        <v>301</v>
      </c>
      <c r="T19" s="181">
        <f t="shared" si="1"/>
        <v>1</v>
      </c>
      <c r="U19" s="203"/>
      <c r="V19" s="166" t="s">
        <v>302</v>
      </c>
      <c r="W19" s="172"/>
      <c r="X19" s="166"/>
      <c r="Y19" s="166"/>
    </row>
    <row r="20" spans="1:25" s="6" customFormat="1" ht="14.25" hidden="1" x14ac:dyDescent="0.2">
      <c r="A20" s="200" t="s">
        <v>298</v>
      </c>
      <c r="B20" s="165" t="s">
        <v>299</v>
      </c>
      <c r="C20" s="164">
        <v>25</v>
      </c>
      <c r="D20" s="164">
        <v>25</v>
      </c>
      <c r="E20" s="319" t="str">
        <f>IF(D20=Selected_Line_Reliability,1,IF(Control!$D$5="Y",1,"-"))</f>
        <v>-</v>
      </c>
      <c r="F20" s="323" t="str">
        <f>LEFT(Control!$D$23,1)</f>
        <v>A</v>
      </c>
      <c r="G20" s="327" t="s">
        <v>118</v>
      </c>
      <c r="H20" s="176" t="str">
        <f>IF(G20=0,B20&amp;TEXT(C20,"0000"),B20&amp;TEXT(C20,"0000")&amp;IF(C20="-","","_"&amp;LEFT(Control!$D$23,1)&amp;LEFT(Control!$D$22,LEN(Control!$D$22)-2)))</f>
        <v>MW0025_A8</v>
      </c>
      <c r="I20" s="177">
        <v>0.6</v>
      </c>
      <c r="J20" s="178">
        <f>INDEX(Ref!$D$7:$G$40,MATCH('Weather Cases All'!D20,Ref!$C$7:$C$40,0),MATCH(LEFT(Control!$D$23,1)&amp;"MW",Ref!$D$6:$G$6,0))</f>
        <v>0.81100000000000005</v>
      </c>
      <c r="K20" s="178">
        <f t="shared" si="0"/>
        <v>0.39463260000000006</v>
      </c>
      <c r="L20" s="473">
        <v>0</v>
      </c>
      <c r="M20" s="179">
        <v>0</v>
      </c>
      <c r="N20" s="179">
        <v>0</v>
      </c>
      <c r="O20" s="179">
        <f>Ref!$L$55</f>
        <v>5</v>
      </c>
      <c r="P20" s="204" t="s">
        <v>300</v>
      </c>
      <c r="Q20" s="179">
        <v>1</v>
      </c>
      <c r="R20" s="204" t="s">
        <v>300</v>
      </c>
      <c r="S20" s="197" t="s">
        <v>301</v>
      </c>
      <c r="T20" s="181">
        <f t="shared" si="1"/>
        <v>1</v>
      </c>
      <c r="U20" s="203"/>
      <c r="V20" s="166" t="s">
        <v>302</v>
      </c>
      <c r="W20" s="172"/>
      <c r="X20" s="166"/>
      <c r="Y20" s="166"/>
    </row>
    <row r="21" spans="1:25" s="6" customFormat="1" ht="14.25" hidden="1" x14ac:dyDescent="0.2">
      <c r="A21" s="200" t="s">
        <v>298</v>
      </c>
      <c r="B21" s="165" t="s">
        <v>299</v>
      </c>
      <c r="C21" s="164">
        <v>15</v>
      </c>
      <c r="D21" s="164">
        <v>15</v>
      </c>
      <c r="E21" s="319" t="str">
        <f>IF(D21=Selected_Line_Reliability,1,IF(Control!$D$5="Y",1,"-"))</f>
        <v>-</v>
      </c>
      <c r="F21" s="323" t="str">
        <f>LEFT(Control!$D$23,1)</f>
        <v>A</v>
      </c>
      <c r="G21" s="327" t="s">
        <v>118</v>
      </c>
      <c r="H21" s="176" t="str">
        <f>IF(G21=0,B21&amp;TEXT(C21,"0000"),B21&amp;TEXT(C21,"0000")&amp;IF(C21="-","","_"&amp;LEFT(Control!$D$23,1)&amp;LEFT(Control!$D$22,LEN(Control!$D$22)-2)))</f>
        <v>MW0015_A8</v>
      </c>
      <c r="I21" s="177">
        <v>0.6</v>
      </c>
      <c r="J21" s="178">
        <f>INDEX(Ref!$D$7:$G$40,MATCH('Weather Cases All'!D21,Ref!$C$7:$C$40,0),MATCH(LEFT(Control!$D$23,1)&amp;"MW",Ref!$D$6:$G$6,0))</f>
        <v>0.77700000000000002</v>
      </c>
      <c r="K21" s="178">
        <f t="shared" si="0"/>
        <v>0.36223740000000004</v>
      </c>
      <c r="L21" s="473">
        <v>0</v>
      </c>
      <c r="M21" s="179">
        <v>0</v>
      </c>
      <c r="N21" s="179">
        <v>0</v>
      </c>
      <c r="O21" s="179">
        <f>Ref!$L$55</f>
        <v>5</v>
      </c>
      <c r="P21" s="204" t="s">
        <v>300</v>
      </c>
      <c r="Q21" s="179">
        <v>1</v>
      </c>
      <c r="R21" s="204" t="s">
        <v>300</v>
      </c>
      <c r="S21" s="197" t="s">
        <v>301</v>
      </c>
      <c r="T21" s="181">
        <f t="shared" si="1"/>
        <v>1</v>
      </c>
      <c r="U21" s="203"/>
      <c r="V21" s="166" t="s">
        <v>302</v>
      </c>
      <c r="W21" s="172" t="s">
        <v>304</v>
      </c>
      <c r="X21" s="166"/>
      <c r="Y21" s="166"/>
    </row>
    <row r="22" spans="1:25" s="6" customFormat="1" ht="14.25" hidden="1" x14ac:dyDescent="0.2">
      <c r="A22" s="200" t="s">
        <v>298</v>
      </c>
      <c r="B22" s="165" t="s">
        <v>299</v>
      </c>
      <c r="C22" s="164">
        <v>10</v>
      </c>
      <c r="D22" s="164">
        <v>10</v>
      </c>
      <c r="E22" s="319" t="str">
        <f>IF(D22=Selected_Line_Reliability,1,IF(Control!$D$5="Y",1,"-"))</f>
        <v>-</v>
      </c>
      <c r="F22" s="323" t="str">
        <f>LEFT(Control!$D$23,1)</f>
        <v>A</v>
      </c>
      <c r="G22" s="327" t="s">
        <v>118</v>
      </c>
      <c r="H22" s="176" t="str">
        <f>IF(G22=0,B22&amp;TEXT(C22,"0000"),B22&amp;TEXT(C22,"0000")&amp;IF(C22="-","","_"&amp;LEFT(Control!$D$23,1)&amp;LEFT(Control!$D$22,LEN(Control!$D$22)-2)))</f>
        <v>MW0010_A8</v>
      </c>
      <c r="I22" s="177">
        <v>0.6</v>
      </c>
      <c r="J22" s="178">
        <f>INDEX(Ref!$D$7:$G$40,MATCH('Weather Cases All'!D22,Ref!$C$7:$C$40,0),MATCH(LEFT(Control!$D$23,1)&amp;"MW",Ref!$D$6:$G$6,0))</f>
        <v>0.749</v>
      </c>
      <c r="K22" s="178">
        <f t="shared" si="0"/>
        <v>0.33660059999999997</v>
      </c>
      <c r="L22" s="473">
        <v>0</v>
      </c>
      <c r="M22" s="179">
        <v>0</v>
      </c>
      <c r="N22" s="179">
        <v>0</v>
      </c>
      <c r="O22" s="179">
        <f>Ref!$L$55</f>
        <v>5</v>
      </c>
      <c r="P22" s="204" t="s">
        <v>300</v>
      </c>
      <c r="Q22" s="179">
        <v>1</v>
      </c>
      <c r="R22" s="204" t="s">
        <v>300</v>
      </c>
      <c r="S22" s="197" t="s">
        <v>301</v>
      </c>
      <c r="T22" s="181">
        <f t="shared" si="1"/>
        <v>1</v>
      </c>
      <c r="U22" s="203"/>
      <c r="V22" s="166" t="s">
        <v>302</v>
      </c>
      <c r="W22" s="172" t="s">
        <v>305</v>
      </c>
      <c r="X22" s="166"/>
      <c r="Y22" s="166"/>
    </row>
    <row r="23" spans="1:25" s="6" customFormat="1" ht="14.25" hidden="1" x14ac:dyDescent="0.2">
      <c r="A23" s="200" t="s">
        <v>298</v>
      </c>
      <c r="B23" s="165" t="s">
        <v>299</v>
      </c>
      <c r="C23" s="164">
        <v>4</v>
      </c>
      <c r="D23" s="164">
        <v>4</v>
      </c>
      <c r="E23" s="319" t="str">
        <f>IF(D23=Selected_Line_Reliability,1,IF(Control!$D$5="Y",1,"-"))</f>
        <v>-</v>
      </c>
      <c r="F23" s="323" t="str">
        <f>LEFT(Control!$D$23,1)</f>
        <v>A</v>
      </c>
      <c r="G23" s="327" t="s">
        <v>118</v>
      </c>
      <c r="H23" s="176" t="str">
        <f>IF(G23=0,B23&amp;TEXT(C23,"0000"),B23&amp;TEXT(C23,"0000")&amp;IF(C23="-","","_"&amp;LEFT(Control!$D$23,1)&amp;LEFT(Control!$D$22,LEN(Control!$D$22)-2)))</f>
        <v>MW0004_A8</v>
      </c>
      <c r="I23" s="177">
        <v>0.6</v>
      </c>
      <c r="J23" s="178">
        <f>INDEX(Ref!$D$7:$G$40,MATCH('Weather Cases All'!D23,Ref!$C$7:$C$40,0),MATCH(LEFT(Control!$D$23,1)&amp;"MW",Ref!$D$6:$G$6,0))</f>
        <v>0.68100000000000005</v>
      </c>
      <c r="K23" s="178">
        <f t="shared" si="0"/>
        <v>0.27825660000000002</v>
      </c>
      <c r="L23" s="473">
        <v>0</v>
      </c>
      <c r="M23" s="179">
        <v>0</v>
      </c>
      <c r="N23" s="179">
        <v>0</v>
      </c>
      <c r="O23" s="179">
        <f>Ref!$L$55</f>
        <v>5</v>
      </c>
      <c r="P23" s="204" t="s">
        <v>300</v>
      </c>
      <c r="Q23" s="179">
        <v>1</v>
      </c>
      <c r="R23" s="204" t="s">
        <v>300</v>
      </c>
      <c r="S23" s="197" t="s">
        <v>301</v>
      </c>
      <c r="T23" s="181">
        <f t="shared" si="1"/>
        <v>1</v>
      </c>
      <c r="U23" s="203"/>
      <c r="V23" s="166" t="s">
        <v>302</v>
      </c>
      <c r="W23" s="172" t="s">
        <v>306</v>
      </c>
      <c r="X23" s="166"/>
      <c r="Y23" s="166"/>
    </row>
    <row r="24" spans="1:25" s="6" customFormat="1" ht="14.25" hidden="1" x14ac:dyDescent="0.2">
      <c r="A24" s="200" t="s">
        <v>298</v>
      </c>
      <c r="B24" s="165" t="s">
        <v>299</v>
      </c>
      <c r="C24" s="164">
        <v>2</v>
      </c>
      <c r="D24" s="164">
        <v>2</v>
      </c>
      <c r="E24" s="319" t="str">
        <f>IF(D24=Selected_Line_Reliability,1,IF(Control!$D$5="Y",1,"-"))</f>
        <v>-</v>
      </c>
      <c r="F24" s="323" t="str">
        <f>LEFT(Control!$D$23,1)</f>
        <v>A</v>
      </c>
      <c r="G24" s="327" t="s">
        <v>118</v>
      </c>
      <c r="H24" s="176" t="str">
        <f>IF(G24=0,B24&amp;TEXT(C24,"0000"),B24&amp;TEXT(C24,"0000")&amp;IF(C24="-","","_"&amp;LEFT(Control!$D$23,1)&amp;LEFT(Control!$D$22,LEN(Control!$D$22)-2)))</f>
        <v>MW0002_A8</v>
      </c>
      <c r="I24" s="177">
        <v>0.6</v>
      </c>
      <c r="J24" s="178">
        <f>INDEX(Ref!$D$7:$G$40,MATCH('Weather Cases All'!D24,Ref!$C$7:$C$40,0),MATCH(LEFT(Control!$D$23,1)&amp;"MW",Ref!$D$6:$G$6,0))</f>
        <v>0.625</v>
      </c>
      <c r="K24" s="178">
        <f t="shared" si="0"/>
        <v>0.234375</v>
      </c>
      <c r="L24" s="473">
        <v>0</v>
      </c>
      <c r="M24" s="179">
        <v>0</v>
      </c>
      <c r="N24" s="179">
        <v>0</v>
      </c>
      <c r="O24" s="179">
        <f>Ref!$L$55</f>
        <v>5</v>
      </c>
      <c r="P24" s="204" t="s">
        <v>300</v>
      </c>
      <c r="Q24" s="179">
        <v>1</v>
      </c>
      <c r="R24" s="204" t="s">
        <v>300</v>
      </c>
      <c r="S24" s="197" t="s">
        <v>301</v>
      </c>
      <c r="T24" s="181">
        <f t="shared" si="1"/>
        <v>1</v>
      </c>
      <c r="U24" s="203"/>
      <c r="V24" s="166" t="s">
        <v>302</v>
      </c>
      <c r="W24" s="172" t="s">
        <v>307</v>
      </c>
      <c r="X24" s="166"/>
      <c r="Y24" s="166"/>
    </row>
    <row r="25" spans="1:25" s="6" customFormat="1" ht="14.25" hidden="1" x14ac:dyDescent="0.2">
      <c r="A25" s="200" t="s">
        <v>308</v>
      </c>
      <c r="B25" s="165" t="s">
        <v>309</v>
      </c>
      <c r="C25" s="164">
        <v>1000</v>
      </c>
      <c r="D25" s="164">
        <v>1000</v>
      </c>
      <c r="E25" s="319" t="str">
        <f>IF(D25=Selected_Line_Reliability,1,IF(Control!$D$5="Y",1,"-"))</f>
        <v>-</v>
      </c>
      <c r="F25" s="323" t="str">
        <f>LEFT(Control!$D$23,1)</f>
        <v>A</v>
      </c>
      <c r="G25" s="327" t="s">
        <v>118</v>
      </c>
      <c r="H25" s="176" t="str">
        <f>IF(G25=0,B25&amp;TEXT(C25,"0000"),B25&amp;TEXT(C25,"0000")&amp;IF(C25="-","","_"&amp;LEFT(Control!$D$23,1)&amp;LEFT(Control!$D$22,LEN(Control!$D$22)-2)))</f>
        <v>MT1000_A8</v>
      </c>
      <c r="I25" s="177">
        <v>0.6</v>
      </c>
      <c r="J25" s="178">
        <f>INDEX(Ref!$D$7:$G$40,MATCH('Weather Cases All'!D25,Ref!$C$7:$C$40,0),MATCH(LEFT(Control!$D$23,1)&amp;"MT",Ref!$D$6:$G$6,0))</f>
        <v>0.6</v>
      </c>
      <c r="K25" s="178">
        <f>J25^2*0.6</f>
        <v>0.216</v>
      </c>
      <c r="L25" s="473">
        <v>0</v>
      </c>
      <c r="M25" s="179">
        <v>0</v>
      </c>
      <c r="N25" s="179">
        <v>0</v>
      </c>
      <c r="O25" s="179">
        <f>Ref!$L$57</f>
        <v>-14</v>
      </c>
      <c r="P25" s="204" t="s">
        <v>300</v>
      </c>
      <c r="Q25" s="179">
        <v>1</v>
      </c>
      <c r="R25" s="204" t="s">
        <v>300</v>
      </c>
      <c r="S25" s="197" t="s">
        <v>301</v>
      </c>
      <c r="T25" s="181">
        <f t="shared" si="1"/>
        <v>1</v>
      </c>
      <c r="U25" s="203"/>
      <c r="V25" s="166" t="s">
        <v>310</v>
      </c>
      <c r="W25" s="172"/>
      <c r="X25" s="166"/>
      <c r="Y25" s="166"/>
    </row>
    <row r="26" spans="1:25" s="6" customFormat="1" ht="14.25" hidden="1" x14ac:dyDescent="0.2">
      <c r="A26" s="200" t="s">
        <v>308</v>
      </c>
      <c r="B26" s="165" t="s">
        <v>309</v>
      </c>
      <c r="C26" s="164">
        <v>500</v>
      </c>
      <c r="D26" s="164">
        <v>500</v>
      </c>
      <c r="E26" s="319" t="str">
        <f>IF(D26=Selected_Line_Reliability,1,IF(Control!$D$5="Y",1,"-"))</f>
        <v>-</v>
      </c>
      <c r="F26" s="323" t="str">
        <f>LEFT(Control!$D$23,1)</f>
        <v>A</v>
      </c>
      <c r="G26" s="327" t="s">
        <v>118</v>
      </c>
      <c r="H26" s="176" t="str">
        <f>IF(G26=0,B26&amp;TEXT(C26,"0000"),B26&amp;TEXT(C26,"0000")&amp;IF(C26="-","","_"&amp;LEFT(Control!$D$23,1)&amp;LEFT(Control!$D$22,LEN(Control!$D$22)-2)))</f>
        <v>MT0500_A8</v>
      </c>
      <c r="I26" s="177">
        <v>0.6</v>
      </c>
      <c r="J26" s="178">
        <f>INDEX(Ref!$D$7:$G$40,MATCH('Weather Cases All'!D26,Ref!$C$7:$C$40,0),MATCH(LEFT(Control!$D$23,1)&amp;"MT",Ref!$D$6:$G$6,0))</f>
        <v>0.58699999999999997</v>
      </c>
      <c r="K26" s="178">
        <f t="shared" ref="K26:K39" si="2">J26^2*0.6</f>
        <v>0.20674139999999996</v>
      </c>
      <c r="L26" s="473">
        <v>0</v>
      </c>
      <c r="M26" s="179">
        <v>0</v>
      </c>
      <c r="N26" s="179">
        <v>0</v>
      </c>
      <c r="O26" s="179">
        <f>Ref!$L$57</f>
        <v>-14</v>
      </c>
      <c r="P26" s="204" t="s">
        <v>300</v>
      </c>
      <c r="Q26" s="179">
        <v>1</v>
      </c>
      <c r="R26" s="204" t="s">
        <v>300</v>
      </c>
      <c r="S26" s="197" t="s">
        <v>301</v>
      </c>
      <c r="T26" s="181">
        <f t="shared" si="1"/>
        <v>1</v>
      </c>
      <c r="U26" s="203"/>
      <c r="V26" s="166" t="s">
        <v>310</v>
      </c>
      <c r="W26" s="172"/>
      <c r="X26" s="166"/>
      <c r="Y26" s="166"/>
    </row>
    <row r="27" spans="1:25" s="6" customFormat="1" ht="14.25" hidden="1" x14ac:dyDescent="0.2">
      <c r="A27" s="200" t="s">
        <v>308</v>
      </c>
      <c r="B27" s="165" t="s">
        <v>309</v>
      </c>
      <c r="C27" s="164">
        <v>400</v>
      </c>
      <c r="D27" s="164">
        <v>400</v>
      </c>
      <c r="E27" s="319" t="str">
        <f>IF(D27=Selected_Line_Reliability,1,IF(Control!$D$5="Y",1,"-"))</f>
        <v>-</v>
      </c>
      <c r="F27" s="323" t="str">
        <f>LEFT(Control!$D$23,1)</f>
        <v>A</v>
      </c>
      <c r="G27" s="327" t="s">
        <v>118</v>
      </c>
      <c r="H27" s="176" t="str">
        <f>IF(G27=0,B27&amp;TEXT(C27,"0000"),B27&amp;TEXT(C27,"0000")&amp;IF(C27="-","","_"&amp;LEFT(Control!$D$23,1)&amp;LEFT(Control!$D$22,LEN(Control!$D$22)-2)))</f>
        <v>MT0400_A8</v>
      </c>
      <c r="I27" s="177">
        <v>0.6</v>
      </c>
      <c r="J27" s="178">
        <f>INDEX(Ref!$D$7:$G$40,MATCH('Weather Cases All'!D27,Ref!$C$7:$C$40,0),MATCH(LEFT(Control!$D$23,1)&amp;"MT",Ref!$D$6:$G$6,0))</f>
        <v>0.57999999999999996</v>
      </c>
      <c r="K27" s="178">
        <f t="shared" si="2"/>
        <v>0.20183999999999999</v>
      </c>
      <c r="L27" s="473">
        <v>0</v>
      </c>
      <c r="M27" s="179">
        <v>0</v>
      </c>
      <c r="N27" s="179">
        <v>0</v>
      </c>
      <c r="O27" s="179">
        <f>Ref!$L$57</f>
        <v>-14</v>
      </c>
      <c r="P27" s="204" t="s">
        <v>300</v>
      </c>
      <c r="Q27" s="179">
        <v>1</v>
      </c>
      <c r="R27" s="204" t="s">
        <v>300</v>
      </c>
      <c r="S27" s="197" t="s">
        <v>301</v>
      </c>
      <c r="T27" s="181">
        <f t="shared" si="1"/>
        <v>1</v>
      </c>
      <c r="U27" s="203"/>
      <c r="V27" s="166" t="s">
        <v>310</v>
      </c>
      <c r="W27" s="172"/>
      <c r="X27" s="166"/>
      <c r="Y27" s="166"/>
    </row>
    <row r="28" spans="1:25" s="6" customFormat="1" ht="14.25" x14ac:dyDescent="0.2">
      <c r="A28" s="200" t="s">
        <v>308</v>
      </c>
      <c r="B28" s="165" t="s">
        <v>309</v>
      </c>
      <c r="C28" s="164">
        <v>300</v>
      </c>
      <c r="D28" s="164">
        <v>300</v>
      </c>
      <c r="E28" s="319">
        <f>IF(D28=Selected_Line_Reliability,1,IF(Control!$D$5="Y",1,"-"))</f>
        <v>1</v>
      </c>
      <c r="F28" s="323" t="str">
        <f>LEFT(Control!$D$23,1)</f>
        <v>A</v>
      </c>
      <c r="G28" s="327" t="s">
        <v>118</v>
      </c>
      <c r="H28" s="176" t="str">
        <f>IF(G28=0,B28&amp;TEXT(C28,"0000"),B28&amp;TEXT(C28,"0000")&amp;IF(C28="-","","_"&amp;LEFT(Control!$D$23,1)&amp;LEFT(Control!$D$22,LEN(Control!$D$22)-2)))</f>
        <v>MT0300_A8</v>
      </c>
      <c r="I28" s="177">
        <v>0.6</v>
      </c>
      <c r="J28" s="178">
        <f>INDEX(Ref!$D$7:$G$40,MATCH('Weather Cases All'!D28,Ref!$C$7:$C$40,0),MATCH(LEFT(Control!$D$23,1)&amp;"MT",Ref!$D$6:$G$6,0))</f>
        <v>0.57199999999999995</v>
      </c>
      <c r="K28" s="178">
        <f t="shared" si="2"/>
        <v>0.19631039999999994</v>
      </c>
      <c r="L28" s="473">
        <v>0</v>
      </c>
      <c r="M28" s="179">
        <v>0</v>
      </c>
      <c r="N28" s="179">
        <v>0</v>
      </c>
      <c r="O28" s="179">
        <f>Ref!$L$57</f>
        <v>-14</v>
      </c>
      <c r="P28" s="204" t="s">
        <v>300</v>
      </c>
      <c r="Q28" s="179">
        <v>1</v>
      </c>
      <c r="R28" s="204" t="s">
        <v>300</v>
      </c>
      <c r="S28" s="197" t="s">
        <v>301</v>
      </c>
      <c r="T28" s="181">
        <f t="shared" si="1"/>
        <v>1</v>
      </c>
      <c r="U28" s="203"/>
      <c r="V28" s="166" t="s">
        <v>310</v>
      </c>
      <c r="W28" s="172"/>
      <c r="X28" s="166"/>
      <c r="Y28" s="166"/>
    </row>
    <row r="29" spans="1:25" s="6" customFormat="1" ht="14.25" hidden="1" x14ac:dyDescent="0.2">
      <c r="A29" s="200" t="s">
        <v>308</v>
      </c>
      <c r="B29" s="165" t="s">
        <v>309</v>
      </c>
      <c r="C29" s="164">
        <v>250</v>
      </c>
      <c r="D29" s="164">
        <v>250</v>
      </c>
      <c r="E29" s="319" t="str">
        <f>IF(D29=Selected_Line_Reliability,1,IF(Control!$D$5="Y",1,"-"))</f>
        <v>-</v>
      </c>
      <c r="F29" s="323" t="str">
        <f>LEFT(Control!$D$23,1)</f>
        <v>A</v>
      </c>
      <c r="G29" s="327" t="s">
        <v>118</v>
      </c>
      <c r="H29" s="176" t="str">
        <f>IF(G29=0,B29&amp;TEXT(C29,"0000"),B29&amp;TEXT(C29,"0000")&amp;IF(C29="-","","_"&amp;LEFT(Control!$D$23,1)&amp;LEFT(Control!$D$22,LEN(Control!$D$22)-2)))</f>
        <v>MT0250_A8</v>
      </c>
      <c r="I29" s="177">
        <v>0.6</v>
      </c>
      <c r="J29" s="178">
        <f>INDEX(Ref!$D$7:$G$40,MATCH('Weather Cases All'!D29,Ref!$C$7:$C$40,0),MATCH(LEFT(Control!$D$23,1)&amp;"MT",Ref!$D$6:$G$6,0))</f>
        <v>0.56599999999999995</v>
      </c>
      <c r="K29" s="178">
        <f t="shared" si="2"/>
        <v>0.19221359999999996</v>
      </c>
      <c r="L29" s="473">
        <v>0</v>
      </c>
      <c r="M29" s="179">
        <v>0</v>
      </c>
      <c r="N29" s="179">
        <v>0</v>
      </c>
      <c r="O29" s="179">
        <f>Ref!$L$57</f>
        <v>-14</v>
      </c>
      <c r="P29" s="204" t="s">
        <v>300</v>
      </c>
      <c r="Q29" s="179">
        <v>1</v>
      </c>
      <c r="R29" s="204" t="s">
        <v>300</v>
      </c>
      <c r="S29" s="197" t="s">
        <v>301</v>
      </c>
      <c r="T29" s="181">
        <f t="shared" si="1"/>
        <v>1</v>
      </c>
      <c r="U29" s="203"/>
      <c r="V29" s="166" t="s">
        <v>310</v>
      </c>
      <c r="W29" s="172"/>
      <c r="X29" s="166"/>
      <c r="Y29" s="166"/>
    </row>
    <row r="30" spans="1:25" s="6" customFormat="1" ht="14.25" hidden="1" x14ac:dyDescent="0.2">
      <c r="A30" s="200" t="s">
        <v>308</v>
      </c>
      <c r="B30" s="165" t="s">
        <v>309</v>
      </c>
      <c r="C30" s="164">
        <v>200</v>
      </c>
      <c r="D30" s="164">
        <v>200</v>
      </c>
      <c r="E30" s="319" t="str">
        <f>IF(D30=Selected_Line_Reliability,1,IF(Control!$D$5="Y",1,"-"))</f>
        <v>-</v>
      </c>
      <c r="F30" s="323" t="str">
        <f>LEFT(Control!$D$23,1)</f>
        <v>A</v>
      </c>
      <c r="G30" s="327" t="s">
        <v>118</v>
      </c>
      <c r="H30" s="176" t="str">
        <f>IF(G30=0,B30&amp;TEXT(C30,"0000"),B30&amp;TEXT(C30,"0000")&amp;IF(C30="-","","_"&amp;LEFT(Control!$D$23,1)&amp;LEFT(Control!$D$22,LEN(Control!$D$22)-2)))</f>
        <v>MT0200_A8</v>
      </c>
      <c r="I30" s="177">
        <v>0.6</v>
      </c>
      <c r="J30" s="178">
        <f>INDEX(Ref!$D$7:$G$40,MATCH('Weather Cases All'!D30,Ref!$C$7:$C$40,0),MATCH(LEFT(Control!$D$23,1)&amp;"MT",Ref!$D$6:$G$6,0))</f>
        <v>0.55900000000000005</v>
      </c>
      <c r="K30" s="178">
        <f t="shared" si="2"/>
        <v>0.18748860000000003</v>
      </c>
      <c r="L30" s="473">
        <v>0</v>
      </c>
      <c r="M30" s="179">
        <v>0</v>
      </c>
      <c r="N30" s="179">
        <v>0</v>
      </c>
      <c r="O30" s="179">
        <f>Ref!$L$57</f>
        <v>-14</v>
      </c>
      <c r="P30" s="204" t="s">
        <v>300</v>
      </c>
      <c r="Q30" s="179">
        <v>1</v>
      </c>
      <c r="R30" s="204" t="s">
        <v>300</v>
      </c>
      <c r="S30" s="197" t="s">
        <v>301</v>
      </c>
      <c r="T30" s="181">
        <f t="shared" si="1"/>
        <v>1</v>
      </c>
      <c r="U30" s="203"/>
      <c r="V30" s="166" t="s">
        <v>310</v>
      </c>
      <c r="W30" s="172"/>
      <c r="X30" s="166"/>
      <c r="Y30" s="166"/>
    </row>
    <row r="31" spans="1:25" s="6" customFormat="1" ht="14.25" hidden="1" x14ac:dyDescent="0.2">
      <c r="A31" s="200" t="s">
        <v>308</v>
      </c>
      <c r="B31" s="165" t="s">
        <v>309</v>
      </c>
      <c r="C31" s="164">
        <v>150</v>
      </c>
      <c r="D31" s="164">
        <v>150</v>
      </c>
      <c r="E31" s="319" t="str">
        <f>IF(D31=Selected_Line_Reliability,1,IF(Control!$D$5="Y",1,"-"))</f>
        <v>-</v>
      </c>
      <c r="F31" s="323" t="str">
        <f>LEFT(Control!$D$23,1)</f>
        <v>A</v>
      </c>
      <c r="G31" s="327" t="s">
        <v>118</v>
      </c>
      <c r="H31" s="176" t="str">
        <f>IF(G31=0,B31&amp;TEXT(C31,"0000"),B31&amp;TEXT(C31,"0000")&amp;IF(C31="-","","_"&amp;LEFT(Control!$D$23,1)&amp;LEFT(Control!$D$22,LEN(Control!$D$22)-2)))</f>
        <v>MT0150_A8</v>
      </c>
      <c r="I31" s="177">
        <v>0.6</v>
      </c>
      <c r="J31" s="178">
        <f>INDEX(Ref!$D$7:$G$40,MATCH('Weather Cases All'!D31,Ref!$C$7:$C$40,0),MATCH(LEFT(Control!$D$23,1)&amp;"MT",Ref!$D$6:$G$6,0))</f>
        <v>0.55000000000000004</v>
      </c>
      <c r="K31" s="178">
        <f t="shared" si="2"/>
        <v>0.18150000000000002</v>
      </c>
      <c r="L31" s="473">
        <v>0</v>
      </c>
      <c r="M31" s="179">
        <v>0</v>
      </c>
      <c r="N31" s="179">
        <v>0</v>
      </c>
      <c r="O31" s="179">
        <f>Ref!$L$57</f>
        <v>-14</v>
      </c>
      <c r="P31" s="204" t="s">
        <v>300</v>
      </c>
      <c r="Q31" s="179">
        <v>1</v>
      </c>
      <c r="R31" s="204" t="s">
        <v>300</v>
      </c>
      <c r="S31" s="197" t="s">
        <v>301</v>
      </c>
      <c r="T31" s="181">
        <f t="shared" si="1"/>
        <v>1</v>
      </c>
      <c r="U31" s="203"/>
      <c r="V31" s="166" t="s">
        <v>310</v>
      </c>
      <c r="W31" s="172"/>
      <c r="X31" s="166"/>
      <c r="Y31" s="166"/>
    </row>
    <row r="32" spans="1:25" s="6" customFormat="1" ht="14.25" hidden="1" x14ac:dyDescent="0.2">
      <c r="A32" s="200" t="s">
        <v>308</v>
      </c>
      <c r="B32" s="165" t="s">
        <v>309</v>
      </c>
      <c r="C32" s="164">
        <v>100</v>
      </c>
      <c r="D32" s="164">
        <v>100</v>
      </c>
      <c r="E32" s="319" t="str">
        <f>IF(D32=Selected_Line_Reliability,1,IF(Control!$D$5="Y",1,"-"))</f>
        <v>-</v>
      </c>
      <c r="F32" s="323" t="str">
        <f>LEFT(Control!$D$23,1)</f>
        <v>A</v>
      </c>
      <c r="G32" s="327" t="s">
        <v>118</v>
      </c>
      <c r="H32" s="176" t="str">
        <f>IF(G32=0,B32&amp;TEXT(C32,"0000"),B32&amp;TEXT(C32,"0000")&amp;IF(C32="-","","_"&amp;LEFT(Control!$D$23,1)&amp;LEFT(Control!$D$22,LEN(Control!$D$22)-2)))</f>
        <v>MT0100_A8</v>
      </c>
      <c r="I32" s="177">
        <v>0.6</v>
      </c>
      <c r="J32" s="178">
        <f>INDEX(Ref!$D$7:$G$40,MATCH('Weather Cases All'!D32,Ref!$C$7:$C$40,0),MATCH(LEFT(Control!$D$23,1)&amp;"MT",Ref!$D$6:$G$6,0))</f>
        <v>0.53600000000000003</v>
      </c>
      <c r="K32" s="178">
        <f t="shared" si="2"/>
        <v>0.17237760000000002</v>
      </c>
      <c r="L32" s="473">
        <v>0</v>
      </c>
      <c r="M32" s="179">
        <v>0</v>
      </c>
      <c r="N32" s="179">
        <v>0</v>
      </c>
      <c r="O32" s="179">
        <f>Ref!$L$57</f>
        <v>-14</v>
      </c>
      <c r="P32" s="204" t="s">
        <v>300</v>
      </c>
      <c r="Q32" s="179">
        <v>1</v>
      </c>
      <c r="R32" s="204" t="s">
        <v>300</v>
      </c>
      <c r="S32" s="197" t="s">
        <v>301</v>
      </c>
      <c r="T32" s="181">
        <f t="shared" si="1"/>
        <v>1</v>
      </c>
      <c r="U32" s="203"/>
      <c r="V32" s="166" t="s">
        <v>310</v>
      </c>
      <c r="W32" s="172"/>
      <c r="X32" s="166"/>
      <c r="Y32" s="166"/>
    </row>
    <row r="33" spans="1:25" s="6" customFormat="1" ht="14.25" hidden="1" x14ac:dyDescent="0.2">
      <c r="A33" s="200" t="s">
        <v>308</v>
      </c>
      <c r="B33" s="165" t="s">
        <v>309</v>
      </c>
      <c r="C33" s="164">
        <v>75</v>
      </c>
      <c r="D33" s="164">
        <v>75</v>
      </c>
      <c r="E33" s="319" t="str">
        <f>IF(D33=Selected_Line_Reliability,1,IF(Control!$D$5="Y",1,"-"))</f>
        <v>-</v>
      </c>
      <c r="F33" s="323" t="str">
        <f>LEFT(Control!$D$23,1)</f>
        <v>A</v>
      </c>
      <c r="G33" s="327" t="s">
        <v>118</v>
      </c>
      <c r="H33" s="176" t="str">
        <f>IF(G33=0,B33&amp;TEXT(C33,"0000"),B33&amp;TEXT(C33,"0000")&amp;IF(C33="-","","_"&amp;LEFT(Control!$D$23,1)&amp;LEFT(Control!$D$22,LEN(Control!$D$22)-2)))</f>
        <v>MT0075_A8</v>
      </c>
      <c r="I33" s="177">
        <v>0.6</v>
      </c>
      <c r="J33" s="178">
        <f>INDEX(Ref!$D$7:$G$40,MATCH('Weather Cases All'!D33,Ref!$C$7:$C$40,0),MATCH(LEFT(Control!$D$23,1)&amp;"MT",Ref!$D$6:$G$6,0))</f>
        <v>0.52700000000000002</v>
      </c>
      <c r="K33" s="178">
        <f t="shared" si="2"/>
        <v>0.16663739999999999</v>
      </c>
      <c r="L33" s="473">
        <v>0</v>
      </c>
      <c r="M33" s="179">
        <v>0</v>
      </c>
      <c r="N33" s="179">
        <v>0</v>
      </c>
      <c r="O33" s="179">
        <f>Ref!$L$57</f>
        <v>-14</v>
      </c>
      <c r="P33" s="204" t="s">
        <v>300</v>
      </c>
      <c r="Q33" s="179">
        <v>1</v>
      </c>
      <c r="R33" s="204" t="s">
        <v>300</v>
      </c>
      <c r="S33" s="197" t="s">
        <v>301</v>
      </c>
      <c r="T33" s="181">
        <f t="shared" si="1"/>
        <v>1</v>
      </c>
      <c r="U33" s="203"/>
      <c r="V33" s="166" t="s">
        <v>310</v>
      </c>
      <c r="W33" s="172"/>
      <c r="X33" s="166"/>
      <c r="Y33" s="166"/>
    </row>
    <row r="34" spans="1:25" s="6" customFormat="1" ht="14.25" hidden="1" x14ac:dyDescent="0.2">
      <c r="A34" s="200" t="s">
        <v>308</v>
      </c>
      <c r="B34" s="165" t="s">
        <v>309</v>
      </c>
      <c r="C34" s="164">
        <v>50</v>
      </c>
      <c r="D34" s="164">
        <v>50</v>
      </c>
      <c r="E34" s="319" t="str">
        <f>IF(D34=Selected_Line_Reliability,1,IF(Control!$D$5="Y",1,"-"))</f>
        <v>-</v>
      </c>
      <c r="F34" s="323" t="str">
        <f>LEFT(Control!$D$23,1)</f>
        <v>A</v>
      </c>
      <c r="G34" s="327" t="s">
        <v>118</v>
      </c>
      <c r="H34" s="176" t="str">
        <f>IF(G34=0,B34&amp;TEXT(C34,"0000"),B34&amp;TEXT(C34,"0000")&amp;IF(C34="-","","_"&amp;LEFT(Control!$D$23,1)&amp;LEFT(Control!$D$22,LEN(Control!$D$22)-2)))</f>
        <v>MT0050_A8</v>
      </c>
      <c r="I34" s="177">
        <v>0.6</v>
      </c>
      <c r="J34" s="178">
        <f>INDEX(Ref!$D$7:$G$40,MATCH('Weather Cases All'!D34,Ref!$C$7:$C$40,0),MATCH(LEFT(Control!$D$23,1)&amp;"MT",Ref!$D$6:$G$6,0))</f>
        <v>0.51200000000000001</v>
      </c>
      <c r="K34" s="178">
        <f t="shared" si="2"/>
        <v>0.15728639999999999</v>
      </c>
      <c r="L34" s="473">
        <v>0</v>
      </c>
      <c r="M34" s="179">
        <v>0</v>
      </c>
      <c r="N34" s="179">
        <v>0</v>
      </c>
      <c r="O34" s="179">
        <f>Ref!$L$57</f>
        <v>-14</v>
      </c>
      <c r="P34" s="204" t="s">
        <v>300</v>
      </c>
      <c r="Q34" s="179">
        <v>1</v>
      </c>
      <c r="R34" s="204" t="s">
        <v>300</v>
      </c>
      <c r="S34" s="197" t="s">
        <v>301</v>
      </c>
      <c r="T34" s="181">
        <f t="shared" si="1"/>
        <v>1</v>
      </c>
      <c r="U34" s="203"/>
      <c r="V34" s="166" t="s">
        <v>310</v>
      </c>
      <c r="W34" s="172"/>
      <c r="X34" s="166"/>
      <c r="Y34" s="166"/>
    </row>
    <row r="35" spans="1:25" s="6" customFormat="1" ht="14.25" hidden="1" x14ac:dyDescent="0.2">
      <c r="A35" s="200" t="s">
        <v>308</v>
      </c>
      <c r="B35" s="165" t="s">
        <v>309</v>
      </c>
      <c r="C35" s="164">
        <v>25</v>
      </c>
      <c r="D35" s="164">
        <v>25</v>
      </c>
      <c r="E35" s="319" t="str">
        <f>IF(D35=Selected_Line_Reliability,1,IF(Control!$D$5="Y",1,"-"))</f>
        <v>-</v>
      </c>
      <c r="F35" s="323" t="str">
        <f>LEFT(Control!$D$23,1)</f>
        <v>A</v>
      </c>
      <c r="G35" s="327" t="s">
        <v>118</v>
      </c>
      <c r="H35" s="176" t="str">
        <f>IF(G35=0,B35&amp;TEXT(C35,"0000"),B35&amp;TEXT(C35,"0000")&amp;IF(C35="-","","_"&amp;LEFT(Control!$D$23,1)&amp;LEFT(Control!$D$22,LEN(Control!$D$22)-2)))</f>
        <v>MT0025_A8</v>
      </c>
      <c r="I35" s="177">
        <v>0.6</v>
      </c>
      <c r="J35" s="178">
        <f>INDEX(Ref!$D$7:$G$40,MATCH('Weather Cases All'!D35,Ref!$C$7:$C$40,0),MATCH(LEFT(Control!$D$23,1)&amp;"MT",Ref!$D$6:$G$6,0))</f>
        <v>0.48599999999999999</v>
      </c>
      <c r="K35" s="178">
        <f t="shared" si="2"/>
        <v>0.1417176</v>
      </c>
      <c r="L35" s="473">
        <v>0</v>
      </c>
      <c r="M35" s="179">
        <v>0</v>
      </c>
      <c r="N35" s="179">
        <v>0</v>
      </c>
      <c r="O35" s="179">
        <f>Ref!$L$57</f>
        <v>-14</v>
      </c>
      <c r="P35" s="204" t="s">
        <v>300</v>
      </c>
      <c r="Q35" s="179">
        <v>1</v>
      </c>
      <c r="R35" s="204" t="s">
        <v>300</v>
      </c>
      <c r="S35" s="197" t="s">
        <v>301</v>
      </c>
      <c r="T35" s="181">
        <f t="shared" si="1"/>
        <v>1</v>
      </c>
      <c r="U35" s="203"/>
      <c r="V35" s="166" t="s">
        <v>310</v>
      </c>
      <c r="W35" s="172"/>
      <c r="X35" s="166"/>
      <c r="Y35" s="166"/>
    </row>
    <row r="36" spans="1:25" s="6" customFormat="1" ht="14.25" hidden="1" x14ac:dyDescent="0.2">
      <c r="A36" s="200" t="s">
        <v>308</v>
      </c>
      <c r="B36" s="165" t="s">
        <v>309</v>
      </c>
      <c r="C36" s="164">
        <v>15</v>
      </c>
      <c r="D36" s="164">
        <v>15</v>
      </c>
      <c r="E36" s="319" t="str">
        <f>IF(D36=Selected_Line_Reliability,1,IF(Control!$D$5="Y",1,"-"))</f>
        <v>-</v>
      </c>
      <c r="F36" s="323" t="str">
        <f>LEFT(Control!$D$23,1)</f>
        <v>A</v>
      </c>
      <c r="G36" s="327" t="s">
        <v>118</v>
      </c>
      <c r="H36" s="176" t="str">
        <f>IF(G36=0,B36&amp;TEXT(C36,"0000"),B36&amp;TEXT(C36,"0000")&amp;IF(C36="-","","_"&amp;LEFT(Control!$D$23,1)&amp;LEFT(Control!$D$22,LEN(Control!$D$22)-2)))</f>
        <v>MT0015_A8</v>
      </c>
      <c r="I36" s="177">
        <v>0.6</v>
      </c>
      <c r="J36" s="178">
        <f>INDEX(Ref!$D$7:$G$40,MATCH('Weather Cases All'!D36,Ref!$C$7:$C$40,0),MATCH(LEFT(Control!$D$23,1)&amp;"MT",Ref!$D$6:$G$6,0))</f>
        <v>0.46600000000000003</v>
      </c>
      <c r="K36" s="178">
        <f t="shared" si="2"/>
        <v>0.13029360000000001</v>
      </c>
      <c r="L36" s="473">
        <v>0</v>
      </c>
      <c r="M36" s="179">
        <v>0</v>
      </c>
      <c r="N36" s="179">
        <v>0</v>
      </c>
      <c r="O36" s="179">
        <f>Ref!$L$57</f>
        <v>-14</v>
      </c>
      <c r="P36" s="204" t="s">
        <v>300</v>
      </c>
      <c r="Q36" s="179">
        <v>1</v>
      </c>
      <c r="R36" s="204" t="s">
        <v>300</v>
      </c>
      <c r="S36" s="197" t="s">
        <v>301</v>
      </c>
      <c r="T36" s="181">
        <f t="shared" si="1"/>
        <v>1</v>
      </c>
      <c r="U36" s="203"/>
      <c r="V36" s="166" t="s">
        <v>310</v>
      </c>
      <c r="W36" s="172" t="s">
        <v>311</v>
      </c>
      <c r="X36" s="166"/>
      <c r="Y36" s="166"/>
    </row>
    <row r="37" spans="1:25" s="6" customFormat="1" ht="14.25" hidden="1" x14ac:dyDescent="0.2">
      <c r="A37" s="200" t="s">
        <v>308</v>
      </c>
      <c r="B37" s="165" t="s">
        <v>309</v>
      </c>
      <c r="C37" s="164">
        <v>10</v>
      </c>
      <c r="D37" s="164">
        <v>10</v>
      </c>
      <c r="E37" s="319" t="str">
        <f>IF(D37=Selected_Line_Reliability,1,IF(Control!$D$5="Y",1,"-"))</f>
        <v>-</v>
      </c>
      <c r="F37" s="323" t="str">
        <f>LEFT(Control!$D$23,1)</f>
        <v>A</v>
      </c>
      <c r="G37" s="327" t="s">
        <v>118</v>
      </c>
      <c r="H37" s="176" t="str">
        <f>IF(G37=0,B37&amp;TEXT(C37,"0000"),B37&amp;TEXT(C37,"0000")&amp;IF(C37="-","","_"&amp;LEFT(Control!$D$23,1)&amp;LEFT(Control!$D$22,LEN(Control!$D$22)-2)))</f>
        <v>MT0010_A8</v>
      </c>
      <c r="I37" s="177">
        <v>0.6</v>
      </c>
      <c r="J37" s="178">
        <f>INDEX(Ref!$D$7:$G$40,MATCH('Weather Cases All'!D37,Ref!$C$7:$C$40,0),MATCH(LEFT(Control!$D$23,1)&amp;"MT",Ref!$D$6:$G$6,0))</f>
        <v>0.44900000000000001</v>
      </c>
      <c r="K37" s="178">
        <f t="shared" si="2"/>
        <v>0.1209606</v>
      </c>
      <c r="L37" s="473">
        <v>0</v>
      </c>
      <c r="M37" s="179">
        <v>0</v>
      </c>
      <c r="N37" s="179">
        <v>0</v>
      </c>
      <c r="O37" s="179">
        <f>Ref!$L$57</f>
        <v>-14</v>
      </c>
      <c r="P37" s="204" t="s">
        <v>300</v>
      </c>
      <c r="Q37" s="179">
        <v>1</v>
      </c>
      <c r="R37" s="204" t="s">
        <v>300</v>
      </c>
      <c r="S37" s="197" t="s">
        <v>301</v>
      </c>
      <c r="T37" s="181">
        <f t="shared" si="1"/>
        <v>1</v>
      </c>
      <c r="U37" s="203"/>
      <c r="V37" s="166" t="s">
        <v>310</v>
      </c>
      <c r="W37" s="172" t="s">
        <v>312</v>
      </c>
      <c r="X37" s="166"/>
      <c r="Y37" s="166"/>
    </row>
    <row r="38" spans="1:25" s="6" customFormat="1" ht="14.25" hidden="1" x14ac:dyDescent="0.2">
      <c r="A38" s="200" t="s">
        <v>308</v>
      </c>
      <c r="B38" s="165" t="s">
        <v>309</v>
      </c>
      <c r="C38" s="164">
        <v>4</v>
      </c>
      <c r="D38" s="164">
        <v>4</v>
      </c>
      <c r="E38" s="319" t="str">
        <f>IF(D38=Selected_Line_Reliability,1,IF(Control!$D$5="Y",1,"-"))</f>
        <v>-</v>
      </c>
      <c r="F38" s="323" t="str">
        <f>LEFT(Control!$D$23,1)</f>
        <v>A</v>
      </c>
      <c r="G38" s="327" t="s">
        <v>118</v>
      </c>
      <c r="H38" s="176" t="str">
        <f>IF(G38=0,B38&amp;TEXT(C38,"0000"),B38&amp;TEXT(C38,"0000")&amp;IF(C38="-","","_"&amp;LEFT(Control!$D$23,1)&amp;LEFT(Control!$D$22,LEN(Control!$D$22)-2)))</f>
        <v>MT0004_A8</v>
      </c>
      <c r="I38" s="177">
        <v>0.6</v>
      </c>
      <c r="J38" s="178">
        <f>INDEX(Ref!$D$7:$G$40,MATCH('Weather Cases All'!D38,Ref!$C$7:$C$40,0),MATCH(LEFT(Control!$D$23,1)&amp;"MT",Ref!$D$6:$G$6,0))</f>
        <v>0.40799999999999997</v>
      </c>
      <c r="K38" s="178">
        <f t="shared" si="2"/>
        <v>9.9878399999999978E-2</v>
      </c>
      <c r="L38" s="473">
        <v>0</v>
      </c>
      <c r="M38" s="179">
        <v>0</v>
      </c>
      <c r="N38" s="179">
        <v>0</v>
      </c>
      <c r="O38" s="179">
        <f>Ref!$L$57</f>
        <v>-14</v>
      </c>
      <c r="P38" s="204" t="s">
        <v>300</v>
      </c>
      <c r="Q38" s="179">
        <v>1</v>
      </c>
      <c r="R38" s="204" t="s">
        <v>300</v>
      </c>
      <c r="S38" s="197" t="s">
        <v>301</v>
      </c>
      <c r="T38" s="181">
        <f t="shared" si="1"/>
        <v>1</v>
      </c>
      <c r="U38" s="203"/>
      <c r="V38" s="166" t="s">
        <v>310</v>
      </c>
      <c r="W38" s="172" t="s">
        <v>313</v>
      </c>
      <c r="X38" s="166"/>
      <c r="Y38" s="166"/>
    </row>
    <row r="39" spans="1:25" s="6" customFormat="1" ht="14.25" hidden="1" x14ac:dyDescent="0.2">
      <c r="A39" s="200" t="s">
        <v>308</v>
      </c>
      <c r="B39" s="165" t="s">
        <v>309</v>
      </c>
      <c r="C39" s="164">
        <v>2</v>
      </c>
      <c r="D39" s="164">
        <v>2</v>
      </c>
      <c r="E39" s="319" t="str">
        <f>IF(D39=Selected_Line_Reliability,1,IF(Control!$D$5="Y",1,"-"))</f>
        <v>-</v>
      </c>
      <c r="F39" s="323" t="str">
        <f>LEFT(Control!$D$23,1)</f>
        <v>A</v>
      </c>
      <c r="G39" s="327" t="s">
        <v>118</v>
      </c>
      <c r="H39" s="176" t="str">
        <f>IF(G39=0,B39&amp;TEXT(C39,"0000"),B39&amp;TEXT(C39,"0000")&amp;IF(C39="-","","_"&amp;LEFT(Control!$D$23,1)&amp;LEFT(Control!$D$22,LEN(Control!$D$22)-2)))</f>
        <v>MT0002_A8</v>
      </c>
      <c r="I39" s="177">
        <v>0.6</v>
      </c>
      <c r="J39" s="178">
        <f>INDEX(Ref!$D$7:$G$40,MATCH('Weather Cases All'!D39,Ref!$C$7:$C$40,0),MATCH(LEFT(Control!$D$23,1)&amp;"MT",Ref!$D$6:$G$6,0))</f>
        <v>0.375</v>
      </c>
      <c r="K39" s="178">
        <f t="shared" si="2"/>
        <v>8.4374999999999992E-2</v>
      </c>
      <c r="L39" s="473">
        <v>0</v>
      </c>
      <c r="M39" s="179">
        <v>0</v>
      </c>
      <c r="N39" s="179">
        <v>0</v>
      </c>
      <c r="O39" s="179">
        <f>Ref!$L$57</f>
        <v>-14</v>
      </c>
      <c r="P39" s="204" t="s">
        <v>300</v>
      </c>
      <c r="Q39" s="179">
        <v>1</v>
      </c>
      <c r="R39" s="204" t="s">
        <v>300</v>
      </c>
      <c r="S39" s="197" t="s">
        <v>301</v>
      </c>
      <c r="T39" s="181">
        <f t="shared" si="1"/>
        <v>1</v>
      </c>
      <c r="U39" s="203"/>
      <c r="V39" s="166" t="s">
        <v>310</v>
      </c>
      <c r="W39" s="172" t="s">
        <v>314</v>
      </c>
      <c r="X39" s="166"/>
      <c r="Y39" s="166"/>
    </row>
    <row r="40" spans="1:25" s="6" customFormat="1" ht="14.25" x14ac:dyDescent="0.2">
      <c r="A40" s="200" t="s">
        <v>315</v>
      </c>
      <c r="B40" s="165" t="s">
        <v>316</v>
      </c>
      <c r="C40" s="165">
        <v>50</v>
      </c>
      <c r="D40" s="164" t="s">
        <v>22</v>
      </c>
      <c r="E40" s="319">
        <f>IF(SUM(L40)=0,"-",1)</f>
        <v>1</v>
      </c>
      <c r="F40" s="323" t="s">
        <v>22</v>
      </c>
      <c r="G40" s="327" t="s">
        <v>118</v>
      </c>
      <c r="H40" s="176" t="str">
        <f>IF(G40="",B40&amp;TEXT(C40,"0000"),B40&amp;TEXT(C40,"0000")&amp;IF(C40="-","","_"&amp;LEFT(Control!$D$22,LEN(Control!$D$22)-2)))</f>
        <v>ES0050_8</v>
      </c>
      <c r="I40" s="177">
        <v>0.6</v>
      </c>
      <c r="J40" s="178">
        <f>(K40/0.6)^0.5</f>
        <v>5.7735026918962582</v>
      </c>
      <c r="K40" s="180">
        <v>20</v>
      </c>
      <c r="L40" s="177">
        <f>Ref!$N$94</f>
        <v>3</v>
      </c>
      <c r="M40" s="181">
        <f>Ref!$O$94</f>
        <v>3900</v>
      </c>
      <c r="N40" s="179">
        <v>0</v>
      </c>
      <c r="O40" s="181">
        <f>Ref!$L$58</f>
        <v>-5</v>
      </c>
      <c r="P40" s="204" t="s">
        <v>300</v>
      </c>
      <c r="Q40" s="179">
        <v>1</v>
      </c>
      <c r="R40" s="204" t="s">
        <v>300</v>
      </c>
      <c r="S40" s="198" t="s">
        <v>317</v>
      </c>
      <c r="T40" s="181">
        <f t="shared" si="1"/>
        <v>1.2</v>
      </c>
      <c r="U40" s="166"/>
      <c r="V40" s="166" t="s">
        <v>318</v>
      </c>
      <c r="W40" s="172" t="s">
        <v>303</v>
      </c>
      <c r="X40" s="166"/>
      <c r="Y40" s="166"/>
    </row>
    <row r="41" spans="1:25" s="6" customFormat="1" hidden="1" x14ac:dyDescent="0.2">
      <c r="A41" s="566" t="s">
        <v>315</v>
      </c>
      <c r="B41" s="567" t="s">
        <v>316</v>
      </c>
      <c r="C41" s="567">
        <v>50</v>
      </c>
      <c r="D41" s="573" t="s">
        <v>22</v>
      </c>
      <c r="E41" s="566" t="str">
        <f>IF(Ref!$L$93="S",IF(AND('Staking Table'!$I$5&gt;100,'Staking Table'!$I$6&lt;=100),1,"-"),"-")</f>
        <v>-</v>
      </c>
      <c r="F41" s="568" t="s">
        <v>22</v>
      </c>
      <c r="G41" s="569" t="s">
        <v>118</v>
      </c>
      <c r="H41" s="570" t="str">
        <f>IF(G41="",B41&amp;TEXT(C41,"0000"),B41&amp;TEXT(C41,"0000")&amp;IF(C41="-","","_"&amp;1))</f>
        <v>ES0050_1</v>
      </c>
      <c r="I41" s="571">
        <v>0.6</v>
      </c>
      <c r="J41" s="575">
        <f t="shared" ref="J41" si="3">(K41/0.6)^0.5</f>
        <v>5.7735026918962582</v>
      </c>
      <c r="K41" s="576">
        <v>20</v>
      </c>
      <c r="L41" s="577">
        <f>HLOOKUP(Ref!$L$93,Ref!$N$79:$P$88,2,FALSE)/10</f>
        <v>1</v>
      </c>
      <c r="M41" s="567">
        <f>Ref!$O$94</f>
        <v>3900</v>
      </c>
      <c r="N41" s="573">
        <v>0</v>
      </c>
      <c r="O41" s="567">
        <f>Ref!$L$58</f>
        <v>-5</v>
      </c>
      <c r="P41" s="572"/>
      <c r="Q41" s="573">
        <v>1</v>
      </c>
      <c r="R41" s="572"/>
      <c r="S41" s="574" t="s">
        <v>317</v>
      </c>
      <c r="T41" s="567">
        <f t="shared" si="1"/>
        <v>1.2</v>
      </c>
      <c r="U41" s="166"/>
      <c r="V41" s="166"/>
      <c r="W41" s="172"/>
      <c r="X41" s="166"/>
      <c r="Y41" s="166"/>
    </row>
    <row r="42" spans="1:25" s="6" customFormat="1" ht="14.25" hidden="1" x14ac:dyDescent="0.2">
      <c r="A42" s="200" t="s">
        <v>319</v>
      </c>
      <c r="B42" s="165" t="s">
        <v>320</v>
      </c>
      <c r="C42" s="165">
        <v>50</v>
      </c>
      <c r="D42" s="164">
        <f>IF(LEFT(Control!$D$24,1)="N",1/12,1)</f>
        <v>1</v>
      </c>
      <c r="E42" s="319">
        <f>IF(SUM(L42)=0,"-",1)</f>
        <v>1</v>
      </c>
      <c r="F42" s="323" t="str">
        <f>LEFT(Control!$D$23,1)</f>
        <v>A</v>
      </c>
      <c r="G42" s="327" t="s">
        <v>118</v>
      </c>
      <c r="H42" s="176" t="str">
        <f>IF(G42="",B42&amp;TEXT(C42,"0000"),B42&amp;TEXT(C42,"0000")&amp;IF(C42="-","","_"&amp;LEFT(Control!$D$23,1)&amp;LEFT(Control!$D$22,LEN(Control!$D$22)-2)))</f>
        <v>TI0050_A8</v>
      </c>
      <c r="I42" s="177">
        <v>0.6</v>
      </c>
      <c r="J42" s="178">
        <f>INDEX(Ref!$D$7:$G$40,MATCH('Weather Cases All'!D42,Ref!$C$7:$C$40,0),MATCH(LEFT(Control!$D$23,1)&amp;"MW",Ref!$D$6:$G$6,0))</f>
        <v>0.56499999999999995</v>
      </c>
      <c r="K42" s="178">
        <f>J42^2*0.6</f>
        <v>0.19153499999999996</v>
      </c>
      <c r="L42" s="473">
        <f>Ref!$Q$94</f>
        <v>0.8</v>
      </c>
      <c r="M42" s="179">
        <f>Ref!$R$94</f>
        <v>6850</v>
      </c>
      <c r="N42" s="179">
        <v>0</v>
      </c>
      <c r="O42" s="181">
        <f>Ref!$L$57</f>
        <v>-14</v>
      </c>
      <c r="P42" s="204" t="s">
        <v>300</v>
      </c>
      <c r="Q42" s="179">
        <v>1</v>
      </c>
      <c r="R42" s="204" t="s">
        <v>300</v>
      </c>
      <c r="S42" s="197" t="s">
        <v>301</v>
      </c>
      <c r="T42" s="181">
        <f t="shared" si="1"/>
        <v>1.2</v>
      </c>
      <c r="U42" s="203"/>
      <c r="V42" s="166" t="s">
        <v>321</v>
      </c>
      <c r="W42" s="172" t="s">
        <v>303</v>
      </c>
      <c r="X42" s="166"/>
      <c r="Y42" s="166"/>
    </row>
    <row r="43" spans="1:25" s="6" customFormat="1" hidden="1" x14ac:dyDescent="0.2">
      <c r="A43" s="566" t="s">
        <v>319</v>
      </c>
      <c r="B43" s="567" t="s">
        <v>320</v>
      </c>
      <c r="C43" s="567">
        <v>50</v>
      </c>
      <c r="D43" s="573">
        <f>IF(LEFT(Control!$D$24,1)="N",1/12,1)</f>
        <v>1</v>
      </c>
      <c r="E43" s="566" t="str">
        <f>IF(AND('Staking Table'!$I$5&gt;1200,'Staking Table'!$I$6&lt;=1200),1,"-")</f>
        <v>-</v>
      </c>
      <c r="F43" s="568" t="str">
        <f>LEFT(Control!$D$23,1)</f>
        <v>A</v>
      </c>
      <c r="G43" s="569" t="s">
        <v>118</v>
      </c>
      <c r="H43" s="570" t="str">
        <f>IF(G43="",B43&amp;TEXT(C43,"0000"),B43&amp;TEXT(C43,"0000")&amp;IF(C43="-","","_"&amp;LEFT(Control!$D$23,1)&amp;12))</f>
        <v>TI0050_A12</v>
      </c>
      <c r="I43" s="571">
        <v>0.6</v>
      </c>
      <c r="J43" s="575">
        <f>INDEX(Ref!$D$7:$G$40,MATCH('Weather Cases All'!D43,Ref!$C$7:$C$40,0),MATCH(LEFT(Control!$D$23,1)&amp;"MW",Ref!$D$6:$G$6,0))</f>
        <v>0.56499999999999995</v>
      </c>
      <c r="K43" s="575">
        <f>J43^2*0.6</f>
        <v>0.19153499999999996</v>
      </c>
      <c r="L43" s="577">
        <f>HLOOKUP(Ref!$L$93,Ref!$Q$79:$S$88,8,FALSE)/10</f>
        <v>1</v>
      </c>
      <c r="M43" s="573">
        <f>Ref!$R$94</f>
        <v>6850</v>
      </c>
      <c r="N43" s="573">
        <v>0</v>
      </c>
      <c r="O43" s="567">
        <f>ROUND(INDEX(Ref!$AA$96:$AB$98,MATCH(Ref!$L$93,Ice_Zones,0),MATCH(Ref!$L$96,Ref!$AA$95:$AB$95,0))-0.0085*1200,0)</f>
        <v>-17</v>
      </c>
      <c r="P43" s="572"/>
      <c r="Q43" s="573">
        <v>1</v>
      </c>
      <c r="R43" s="572"/>
      <c r="S43" s="578" t="s">
        <v>301</v>
      </c>
      <c r="T43" s="567">
        <f t="shared" si="1"/>
        <v>1.2</v>
      </c>
      <c r="U43" s="203"/>
      <c r="V43" s="166"/>
      <c r="W43" s="172"/>
      <c r="X43" s="166"/>
      <c r="Y43" s="166"/>
    </row>
    <row r="44" spans="1:25" s="6" customFormat="1" x14ac:dyDescent="0.2">
      <c r="A44" s="566" t="s">
        <v>319</v>
      </c>
      <c r="B44" s="567" t="s">
        <v>320</v>
      </c>
      <c r="C44" s="567">
        <v>50</v>
      </c>
      <c r="D44" s="573">
        <f>IF(LEFT(Control!$D$24,1)="N",1/12,1)</f>
        <v>1</v>
      </c>
      <c r="E44" s="566" t="str">
        <f>IF(AND('Staking Table'!$I$5&gt;900,'Staking Table'!$I$6&lt;=900),1,"-")</f>
        <v>-</v>
      </c>
      <c r="F44" s="568" t="str">
        <f>LEFT(Control!$D$23,1)</f>
        <v>A</v>
      </c>
      <c r="G44" s="569" t="s">
        <v>118</v>
      </c>
      <c r="H44" s="570" t="str">
        <f>IF(G44="",B44&amp;TEXT(C44,"0000"),B44&amp;TEXT(C44,"0000")&amp;IF(C44="-","","_"&amp;LEFT(Control!$D$23,1)&amp;9))</f>
        <v>TI0050_A9</v>
      </c>
      <c r="I44" s="571">
        <v>0.6</v>
      </c>
      <c r="J44" s="575">
        <f>INDEX(Ref!$D$7:$G$40,MATCH('Weather Cases All'!D44,Ref!$C$7:$C$40,0),MATCH(LEFT(Control!$D$23,1)&amp;"MW",Ref!$D$6:$G$6,0))</f>
        <v>0.56499999999999995</v>
      </c>
      <c r="K44" s="575">
        <f t="shared" ref="K44:K45" si="4">J44^2*0.6</f>
        <v>0.19153499999999996</v>
      </c>
      <c r="L44" s="577">
        <f>HLOOKUP(Ref!$L$93,Ref!$Q$79:$S$88,7,FALSE)/10</f>
        <v>0.8</v>
      </c>
      <c r="M44" s="573">
        <f>Ref!$R$94</f>
        <v>6850</v>
      </c>
      <c r="N44" s="573">
        <v>0</v>
      </c>
      <c r="O44" s="567">
        <f>ROUND(INDEX(Ref!$AA$96:$AB$98,MATCH(Ref!$L$93,Ice_Zones,0),MATCH(Ref!$L$96,Ref!$AA$95:$AB$95,0))-0.0085*900,0)</f>
        <v>-15</v>
      </c>
      <c r="P44" s="572"/>
      <c r="Q44" s="573">
        <v>1</v>
      </c>
      <c r="R44" s="572"/>
      <c r="S44" s="578" t="s">
        <v>301</v>
      </c>
      <c r="T44" s="567">
        <f t="shared" si="1"/>
        <v>1.2</v>
      </c>
      <c r="U44" s="203"/>
      <c r="V44" s="166"/>
      <c r="W44" s="172"/>
      <c r="X44" s="166"/>
      <c r="Y44" s="166"/>
    </row>
    <row r="45" spans="1:25" s="6" customFormat="1" hidden="1" x14ac:dyDescent="0.2">
      <c r="A45" s="566" t="s">
        <v>319</v>
      </c>
      <c r="B45" s="567" t="s">
        <v>320</v>
      </c>
      <c r="C45" s="567">
        <v>50</v>
      </c>
      <c r="D45" s="573">
        <f>IF(LEFT(Control!$D$24,1)="N",1/12,1)</f>
        <v>1</v>
      </c>
      <c r="E45" s="566" t="str">
        <f>IF(Ref!$L$93="S",IF(AND('Staking Table'!$I$5&gt;700,'Staking Table'!$I$6&lt;=700),1,"-"),"-")</f>
        <v>-</v>
      </c>
      <c r="F45" s="568" t="str">
        <f>LEFT(Control!$D$23,1)</f>
        <v>A</v>
      </c>
      <c r="G45" s="569" t="s">
        <v>118</v>
      </c>
      <c r="H45" s="570" t="str">
        <f>IF(G45="",B45&amp;TEXT(C45,"0000"),B45&amp;TEXT(C45,"0000")&amp;IF(C45="-","","_"&amp;LEFT(Control!$D$23,1)&amp;7))</f>
        <v>TI0050_A7</v>
      </c>
      <c r="I45" s="571">
        <v>0.6</v>
      </c>
      <c r="J45" s="575">
        <f>INDEX(Ref!$D$7:$G$40,MATCH('Weather Cases All'!D45,Ref!$C$7:$C$40,0),MATCH(LEFT(Control!$D$23,1)&amp;"MW",Ref!$D$6:$G$6,0))</f>
        <v>0.56499999999999995</v>
      </c>
      <c r="K45" s="575">
        <f t="shared" si="4"/>
        <v>0.19153499999999996</v>
      </c>
      <c r="L45" s="577">
        <f>HLOOKUP(Ref!$L$93,Ref!$Q$79:$S$88,6,FALSE)/10</f>
        <v>0.5</v>
      </c>
      <c r="M45" s="573">
        <f>Ref!$R$94</f>
        <v>6850</v>
      </c>
      <c r="N45" s="573">
        <v>0</v>
      </c>
      <c r="O45" s="567">
        <f>ROUND(INDEX(Ref!$AA$96:$AB$98,MATCH(Ref!$L$93,Ice_Zones,0),MATCH(Ref!$L$96,Ref!$AA$95:$AB$95,0))-0.0085*700,0)</f>
        <v>-13</v>
      </c>
      <c r="P45" s="572"/>
      <c r="Q45" s="573">
        <v>1</v>
      </c>
      <c r="R45" s="572"/>
      <c r="S45" s="578" t="s">
        <v>301</v>
      </c>
      <c r="T45" s="567">
        <f t="shared" si="1"/>
        <v>1.2</v>
      </c>
      <c r="U45" s="203"/>
      <c r="V45" s="166"/>
      <c r="W45" s="172"/>
      <c r="X45" s="166"/>
      <c r="Y45" s="166"/>
    </row>
    <row r="46" spans="1:25" s="6" customFormat="1" ht="14.25" hidden="1" x14ac:dyDescent="0.2">
      <c r="A46" s="200" t="s">
        <v>322</v>
      </c>
      <c r="B46" s="165" t="s">
        <v>323</v>
      </c>
      <c r="C46" s="165">
        <v>50</v>
      </c>
      <c r="D46" s="164" t="s">
        <v>22</v>
      </c>
      <c r="E46" s="319">
        <f>IF(SUM(L46)=0,"-",1)</f>
        <v>1</v>
      </c>
      <c r="F46" s="323" t="s">
        <v>22</v>
      </c>
      <c r="G46" s="327" t="s">
        <v>118</v>
      </c>
      <c r="H46" s="176" t="str">
        <f>IF(G46="",B46&amp;TEXT(C46,"0000"),B46&amp;TEXT(C46,"0000")&amp;IF(C46="-","","_"&amp;LEFT(Control!$D$22,LEN(Control!$D$22)-2)))</f>
        <v>EI0050_8</v>
      </c>
      <c r="I46" s="177">
        <v>0.6</v>
      </c>
      <c r="J46" s="178">
        <f>(K46/0.6)^0.5</f>
        <v>5.7735026918962582</v>
      </c>
      <c r="K46" s="180">
        <v>20</v>
      </c>
      <c r="L46" s="473">
        <f>Ref!T$94</f>
        <v>5.5</v>
      </c>
      <c r="M46" s="179">
        <f>Ref!U$94</f>
        <v>3550</v>
      </c>
      <c r="N46" s="179">
        <v>0</v>
      </c>
      <c r="O46" s="181">
        <f>Ref!$L$57</f>
        <v>-14</v>
      </c>
      <c r="P46" s="204" t="s">
        <v>300</v>
      </c>
      <c r="Q46" s="179">
        <v>1</v>
      </c>
      <c r="R46" s="204" t="s">
        <v>300</v>
      </c>
      <c r="S46" s="198" t="s">
        <v>317</v>
      </c>
      <c r="T46" s="181">
        <f t="shared" si="1"/>
        <v>1.2</v>
      </c>
      <c r="U46" s="166"/>
      <c r="V46" s="166" t="s">
        <v>321</v>
      </c>
      <c r="W46" s="172"/>
      <c r="X46" s="166"/>
      <c r="Y46" s="166"/>
    </row>
    <row r="47" spans="1:25" s="6" customFormat="1" hidden="1" x14ac:dyDescent="0.2">
      <c r="A47" s="566" t="s">
        <v>322</v>
      </c>
      <c r="B47" s="567" t="s">
        <v>323</v>
      </c>
      <c r="C47" s="567">
        <v>50</v>
      </c>
      <c r="D47" s="573" t="s">
        <v>22</v>
      </c>
      <c r="E47" s="566" t="str">
        <f>IF(AND('Staking Table'!$I$5&gt;1200,'Staking Table'!$I$6&lt;=1200),1,"-")</f>
        <v>-</v>
      </c>
      <c r="F47" s="568" t="s">
        <v>22</v>
      </c>
      <c r="G47" s="569" t="s">
        <v>118</v>
      </c>
      <c r="H47" s="570" t="str">
        <f>IF(G47="",B47&amp;TEXT(C47,"0000"),B47&amp;TEXT(C47,"0000")&amp;IF(C47="-","","_"&amp;12))</f>
        <v>EI0050_12</v>
      </c>
      <c r="I47" s="571">
        <v>0.6</v>
      </c>
      <c r="J47" s="575">
        <f t="shared" ref="J47:J49" si="5">(K47/0.6)^0.5</f>
        <v>5.7735026918962582</v>
      </c>
      <c r="K47" s="576">
        <v>20</v>
      </c>
      <c r="L47" s="577">
        <f>HLOOKUP(Ref!$L$93,Ref!$T$79:$V$88,8,FALSE)/10</f>
        <v>6</v>
      </c>
      <c r="M47" s="573">
        <f>INDEX(Ref!AD$83:AD$90,MATCH(L47*10,Ref!$Y$83:$Y$90,1),1)</f>
        <v>3300</v>
      </c>
      <c r="N47" s="573">
        <v>0</v>
      </c>
      <c r="O47" s="567">
        <f>ROUND(INDEX(Ref!$AA$96:$AB$98,MATCH(Ref!$L$93,Ice_Zones,0),MATCH(Ref!$L$96,Ref!$AA$95:$AB$95,0))-0.0085*1200,0)</f>
        <v>-17</v>
      </c>
      <c r="P47" s="572"/>
      <c r="Q47" s="573">
        <v>1</v>
      </c>
      <c r="R47" s="572"/>
      <c r="S47" s="574" t="s">
        <v>317</v>
      </c>
      <c r="T47" s="567">
        <f t="shared" si="1"/>
        <v>1.2</v>
      </c>
      <c r="U47" s="166"/>
      <c r="V47" s="166"/>
      <c r="W47" s="172"/>
      <c r="X47" s="166"/>
      <c r="Y47" s="166"/>
    </row>
    <row r="48" spans="1:25" s="6" customFormat="1" x14ac:dyDescent="0.2">
      <c r="A48" s="566" t="s">
        <v>322</v>
      </c>
      <c r="B48" s="567" t="s">
        <v>323</v>
      </c>
      <c r="C48" s="567">
        <v>50</v>
      </c>
      <c r="D48" s="573" t="s">
        <v>22</v>
      </c>
      <c r="E48" s="566" t="str">
        <f>IF(AND('Staking Table'!$I$5&gt;900,'Staking Table'!$I$6&lt;=900),1,"-")</f>
        <v>-</v>
      </c>
      <c r="F48" s="568" t="s">
        <v>22</v>
      </c>
      <c r="G48" s="569" t="s">
        <v>118</v>
      </c>
      <c r="H48" s="570" t="str">
        <f>IF(G48="",B48&amp;TEXT(C48,"0000"),B48&amp;TEXT(C48,"0000")&amp;IF(C48="-","","_"&amp;9))</f>
        <v>EI0050_9</v>
      </c>
      <c r="I48" s="571">
        <v>0.6</v>
      </c>
      <c r="J48" s="575">
        <f t="shared" si="5"/>
        <v>5.7735026918962582</v>
      </c>
      <c r="K48" s="576">
        <v>20</v>
      </c>
      <c r="L48" s="577">
        <f>HLOOKUP(Ref!$L$93,Ref!$T$79:$V$88,7,FALSE)/10</f>
        <v>5.5</v>
      </c>
      <c r="M48" s="573">
        <f>INDEX(Ref!AD$83:AD$90,MATCH(L48*10,Ref!$Y$83:$Y$90,1),1)</f>
        <v>3550</v>
      </c>
      <c r="N48" s="573">
        <v>0</v>
      </c>
      <c r="O48" s="567">
        <f>ROUND(INDEX(Ref!$AA$96:$AB$98,MATCH(Ref!$L$93,Ice_Zones,0),MATCH(Ref!$L$96,Ref!$AA$95:$AB$95,0))-0.0085*900,0)</f>
        <v>-15</v>
      </c>
      <c r="P48" s="572"/>
      <c r="Q48" s="573">
        <v>1</v>
      </c>
      <c r="R48" s="572"/>
      <c r="S48" s="574" t="s">
        <v>317</v>
      </c>
      <c r="T48" s="567">
        <f t="shared" si="1"/>
        <v>1.2</v>
      </c>
      <c r="U48" s="166"/>
      <c r="V48" s="166"/>
      <c r="W48" s="172"/>
      <c r="X48" s="166"/>
      <c r="Y48" s="166"/>
    </row>
    <row r="49" spans="1:28" s="6" customFormat="1" hidden="1" x14ac:dyDescent="0.2">
      <c r="A49" s="566" t="s">
        <v>322</v>
      </c>
      <c r="B49" s="567" t="s">
        <v>323</v>
      </c>
      <c r="C49" s="567">
        <v>50</v>
      </c>
      <c r="D49" s="573" t="s">
        <v>22</v>
      </c>
      <c r="E49" s="566" t="str">
        <f>IF(Ref!$L$93="S",IF(AND('Staking Table'!$I$5&gt;700,'Staking Table'!$I$6&lt;=700),1,"-"),"-")</f>
        <v>-</v>
      </c>
      <c r="F49" s="568" t="s">
        <v>22</v>
      </c>
      <c r="G49" s="569" t="s">
        <v>118</v>
      </c>
      <c r="H49" s="570" t="str">
        <f>IF(G49="",B49&amp;TEXT(C49,"0000"),B49&amp;TEXT(C49,"0000")&amp;IF(C49="-","","_"&amp;7))</f>
        <v>EI0050_7</v>
      </c>
      <c r="I49" s="571">
        <v>0.6</v>
      </c>
      <c r="J49" s="575">
        <f t="shared" si="5"/>
        <v>5.7735026918962582</v>
      </c>
      <c r="K49" s="576">
        <v>20</v>
      </c>
      <c r="L49" s="577">
        <f>HLOOKUP(Ref!$L$93,Ref!$T$79:$V$88,6,FALSE)/10</f>
        <v>5</v>
      </c>
      <c r="M49" s="573">
        <f>INDEX(Ref!AD$83:AD$90,MATCH(L49*10,Ref!$Y$83:$Y$90,1),1)</f>
        <v>3850</v>
      </c>
      <c r="N49" s="573">
        <v>0</v>
      </c>
      <c r="O49" s="567">
        <f>ROUND(INDEX(Ref!$AA$96:$AB$98,MATCH(Ref!$L$93,Ice_Zones,0),MATCH(Ref!$L$96,Ref!$AA$95:$AB$95,0))-0.0085*700,0)</f>
        <v>-13</v>
      </c>
      <c r="P49" s="572"/>
      <c r="Q49" s="573">
        <v>1</v>
      </c>
      <c r="R49" s="572"/>
      <c r="S49" s="574" t="s">
        <v>317</v>
      </c>
      <c r="T49" s="567">
        <f t="shared" si="1"/>
        <v>1.2</v>
      </c>
      <c r="U49" s="166"/>
      <c r="V49" s="166"/>
      <c r="W49" s="172"/>
      <c r="X49" s="166"/>
      <c r="Y49" s="166"/>
    </row>
    <row r="50" spans="1:28" s="6" customFormat="1" ht="15" hidden="1" x14ac:dyDescent="0.2">
      <c r="A50" s="471" t="s">
        <v>324</v>
      </c>
      <c r="B50" s="472" t="s">
        <v>22</v>
      </c>
      <c r="C50" s="485" t="s">
        <v>325</v>
      </c>
      <c r="D50" s="164"/>
      <c r="E50" s="319" t="s">
        <v>22</v>
      </c>
      <c r="F50" s="323" t="s">
        <v>22</v>
      </c>
      <c r="G50" s="327" t="s">
        <v>22</v>
      </c>
      <c r="H50" s="176"/>
      <c r="I50" s="473"/>
      <c r="J50" s="179"/>
      <c r="K50" s="179"/>
      <c r="L50" s="473"/>
      <c r="M50" s="179"/>
      <c r="N50" s="179">
        <v>0</v>
      </c>
      <c r="O50" s="179"/>
      <c r="P50" s="204" t="s">
        <v>300</v>
      </c>
      <c r="Q50" s="179"/>
      <c r="R50" s="204" t="s">
        <v>300</v>
      </c>
      <c r="S50" s="474"/>
      <c r="T50" s="179"/>
      <c r="U50" s="506"/>
      <c r="V50" s="166"/>
      <c r="W50" s="172"/>
      <c r="X50" s="166"/>
      <c r="Y50" s="166"/>
    </row>
    <row r="51" spans="1:28" s="6" customFormat="1" ht="14.25" x14ac:dyDescent="0.2">
      <c r="A51" s="200" t="s">
        <v>326</v>
      </c>
      <c r="B51" s="165" t="s">
        <v>327</v>
      </c>
      <c r="C51" s="165">
        <f>Control!$D$25</f>
        <v>1</v>
      </c>
      <c r="D51" s="164" t="s">
        <v>22</v>
      </c>
      <c r="E51" s="319">
        <f>IF(SUM(K51:L51)=0,"-",1)</f>
        <v>1</v>
      </c>
      <c r="F51" s="323" t="s">
        <v>22</v>
      </c>
      <c r="G51" s="327" t="s">
        <v>118</v>
      </c>
      <c r="H51" s="176" t="str">
        <f>IF(G51=0,B51&amp;TEXT(Control!$D$25,"0000"),B51&amp;TEXT(Control!$D$25,"0000")&amp;"_"&amp;LEFT(Control!$D$22,LEN(Control!$D$22)-2))</f>
        <v>RW0001_8</v>
      </c>
      <c r="I51" s="177">
        <v>0.6</v>
      </c>
      <c r="J51" s="178">
        <f>(K51/0.6)^0.5</f>
        <v>12.909944487358057</v>
      </c>
      <c r="K51" s="180">
        <f>100*Control!$D$25</f>
        <v>100</v>
      </c>
      <c r="L51" s="473">
        <v>0</v>
      </c>
      <c r="M51" s="179">
        <v>0</v>
      </c>
      <c r="N51" s="179">
        <v>0</v>
      </c>
      <c r="O51" s="181">
        <f>Ref!$L$54</f>
        <v>5</v>
      </c>
      <c r="P51" s="204" t="s">
        <v>300</v>
      </c>
      <c r="Q51" s="179">
        <v>1</v>
      </c>
      <c r="R51" s="204" t="s">
        <v>300</v>
      </c>
      <c r="S51" s="198" t="s">
        <v>317</v>
      </c>
      <c r="T51" s="181">
        <f t="shared" si="1"/>
        <v>1</v>
      </c>
      <c r="U51" s="166"/>
      <c r="V51" s="166" t="s">
        <v>328</v>
      </c>
      <c r="W51" s="172" t="s">
        <v>329</v>
      </c>
      <c r="X51" s="166"/>
      <c r="Y51" s="166"/>
    </row>
    <row r="52" spans="1:28" s="6" customFormat="1" ht="14.25" x14ac:dyDescent="0.2">
      <c r="A52" s="200" t="s">
        <v>330</v>
      </c>
      <c r="B52" s="165" t="s">
        <v>331</v>
      </c>
      <c r="C52" s="165">
        <f>Control!$D$25</f>
        <v>1</v>
      </c>
      <c r="D52" s="164" t="s">
        <v>22</v>
      </c>
      <c r="E52" s="319">
        <f>IF(SUM(L52)=0,"-",1)</f>
        <v>1</v>
      </c>
      <c r="F52" s="323" t="s">
        <v>22</v>
      </c>
      <c r="G52" s="327" t="s">
        <v>118</v>
      </c>
      <c r="H52" s="176" t="str">
        <f>IF(G52=0,B52&amp;TEXT(Control!$D$25,"0000"),B52&amp;TEXT(Control!$D$25,"0000")&amp;"_"&amp;LEFT(Control!$D$22,LEN(Control!$D$22)-2))</f>
        <v>RS0001_8</v>
      </c>
      <c r="I52" s="177">
        <v>0.6</v>
      </c>
      <c r="J52" s="179">
        <v>0</v>
      </c>
      <c r="K52" s="179">
        <v>0</v>
      </c>
      <c r="L52" s="473">
        <f>Ref!$N$120</f>
        <v>1</v>
      </c>
      <c r="M52" s="179">
        <f>Ref!$O$120</f>
        <v>3900</v>
      </c>
      <c r="N52" s="179">
        <v>0</v>
      </c>
      <c r="O52" s="181">
        <f>Ref!$L$58</f>
        <v>-5</v>
      </c>
      <c r="P52" s="204" t="s">
        <v>300</v>
      </c>
      <c r="Q52" s="179">
        <v>1</v>
      </c>
      <c r="R52" s="204" t="s">
        <v>300</v>
      </c>
      <c r="S52" s="198" t="s">
        <v>317</v>
      </c>
      <c r="T52" s="181">
        <f t="shared" si="1"/>
        <v>1.2</v>
      </c>
      <c r="U52" s="166"/>
      <c r="V52" s="166" t="s">
        <v>318</v>
      </c>
      <c r="W52" s="172" t="s">
        <v>329</v>
      </c>
      <c r="X52" s="166"/>
      <c r="Y52" s="166"/>
    </row>
    <row r="53" spans="1:28" s="6" customFormat="1" ht="14.25" hidden="1" x14ac:dyDescent="0.2">
      <c r="A53" s="200" t="s">
        <v>332</v>
      </c>
      <c r="B53" s="165" t="s">
        <v>333</v>
      </c>
      <c r="C53" s="165">
        <f>Control!$D$25</f>
        <v>1</v>
      </c>
      <c r="D53" s="164" t="s">
        <v>22</v>
      </c>
      <c r="E53" s="319">
        <f>IF(SUM(L53)=0,"-",1)</f>
        <v>1</v>
      </c>
      <c r="F53" s="323" t="s">
        <v>22</v>
      </c>
      <c r="G53" s="327" t="s">
        <v>118</v>
      </c>
      <c r="H53" s="176" t="str">
        <f>IF(G53=0,B53&amp;TEXT(Control!$D$25,"0000"),B53&amp;TEXT(Control!$D$25,"0000")&amp;"_"&amp;LEFT(Control!$D$22,LEN(Control!$D$22)-2))</f>
        <v>RI0001_8</v>
      </c>
      <c r="I53" s="177">
        <v>0.6</v>
      </c>
      <c r="J53" s="179">
        <v>0</v>
      </c>
      <c r="K53" s="179">
        <v>0</v>
      </c>
      <c r="L53" s="473">
        <f>Ref!$T$120</f>
        <v>1.8</v>
      </c>
      <c r="M53" s="179">
        <f>Ref!$U$120</f>
        <v>6850</v>
      </c>
      <c r="N53" s="179">
        <v>0</v>
      </c>
      <c r="O53" s="181">
        <f>Ref!$L$57</f>
        <v>-14</v>
      </c>
      <c r="P53" s="204" t="s">
        <v>300</v>
      </c>
      <c r="Q53" s="179">
        <v>1</v>
      </c>
      <c r="R53" s="204" t="s">
        <v>300</v>
      </c>
      <c r="S53" s="198" t="s">
        <v>317</v>
      </c>
      <c r="T53" s="181">
        <f t="shared" si="1"/>
        <v>1.2</v>
      </c>
      <c r="U53" s="166"/>
      <c r="V53" s="166" t="s">
        <v>321</v>
      </c>
      <c r="W53" s="172" t="s">
        <v>329</v>
      </c>
      <c r="X53" s="166"/>
      <c r="Y53" s="166"/>
    </row>
    <row r="54" spans="1:28" s="6" customFormat="1" ht="15" hidden="1" x14ac:dyDescent="0.2">
      <c r="A54" s="471" t="s">
        <v>334</v>
      </c>
      <c r="B54" s="472"/>
      <c r="C54" s="472"/>
      <c r="D54" s="164"/>
      <c r="E54" s="319" t="s">
        <v>22</v>
      </c>
      <c r="F54" s="323" t="s">
        <v>22</v>
      </c>
      <c r="G54" s="327" t="s">
        <v>22</v>
      </c>
      <c r="H54" s="176"/>
      <c r="I54" s="473"/>
      <c r="J54" s="179"/>
      <c r="K54" s="179"/>
      <c r="L54" s="473"/>
      <c r="M54" s="179"/>
      <c r="N54" s="179">
        <v>0</v>
      </c>
      <c r="O54" s="179"/>
      <c r="P54" s="204" t="s">
        <v>300</v>
      </c>
      <c r="Q54" s="179"/>
      <c r="R54" s="204" t="s">
        <v>300</v>
      </c>
      <c r="S54" s="474"/>
      <c r="T54" s="179"/>
      <c r="U54" s="506"/>
      <c r="V54" s="166"/>
      <c r="W54" s="172"/>
      <c r="X54" s="166"/>
      <c r="Y54" s="166"/>
    </row>
    <row r="55" spans="1:28" s="6" customFormat="1" ht="14.25" x14ac:dyDescent="0.2">
      <c r="A55" s="200" t="s">
        <v>335</v>
      </c>
      <c r="B55" s="165" t="s">
        <v>336</v>
      </c>
      <c r="C55" s="164" t="s">
        <v>22</v>
      </c>
      <c r="D55" s="164" t="s">
        <v>22</v>
      </c>
      <c r="E55" s="319">
        <f>IF(OR(Control!$D$5="Y",SUM(K55:L55)=0),"-",1)</f>
        <v>1</v>
      </c>
      <c r="F55" s="323" t="s">
        <v>22</v>
      </c>
      <c r="G55" s="327" t="s">
        <v>22</v>
      </c>
      <c r="H55" s="176" t="str">
        <f>B55</f>
        <v>CM1</v>
      </c>
      <c r="I55" s="177">
        <v>0.6</v>
      </c>
      <c r="J55" s="178">
        <f>(K55/0.6)^0.5</f>
        <v>12.909944487358057</v>
      </c>
      <c r="K55" s="180">
        <v>100</v>
      </c>
      <c r="L55" s="473">
        <v>0</v>
      </c>
      <c r="M55" s="179">
        <v>0</v>
      </c>
      <c r="N55" s="179">
        <v>0</v>
      </c>
      <c r="O55" s="179">
        <f>Ref!$L$59</f>
        <v>5</v>
      </c>
      <c r="P55" s="204" t="s">
        <v>300</v>
      </c>
      <c r="Q55" s="179">
        <v>1</v>
      </c>
      <c r="R55" s="204" t="s">
        <v>300</v>
      </c>
      <c r="S55" s="198" t="s">
        <v>317</v>
      </c>
      <c r="T55" s="181">
        <f t="shared" si="1"/>
        <v>1</v>
      </c>
      <c r="U55" s="166"/>
      <c r="V55" s="166" t="s">
        <v>337</v>
      </c>
      <c r="W55" s="173"/>
      <c r="X55" s="166"/>
      <c r="Y55" s="166"/>
    </row>
    <row r="56" spans="1:28" s="6" customFormat="1" ht="14.25" x14ac:dyDescent="0.2">
      <c r="A56" s="200" t="s">
        <v>338</v>
      </c>
      <c r="B56" s="165" t="s">
        <v>339</v>
      </c>
      <c r="C56" s="164" t="s">
        <v>22</v>
      </c>
      <c r="D56" s="164">
        <v>1</v>
      </c>
      <c r="E56" s="319">
        <f>IF(OR(Control!$D$5="Y",SUM(K56:L56)=0),"-",1)</f>
        <v>1</v>
      </c>
      <c r="F56" s="323" t="str">
        <f>LEFT(Control!$D$23,1)</f>
        <v>A</v>
      </c>
      <c r="G56" s="327" t="s">
        <v>22</v>
      </c>
      <c r="H56" s="176" t="str">
        <f>B56&amp;"_"&amp;LEFT(Control!$D$23,1)</f>
        <v>CM2_A</v>
      </c>
      <c r="I56" s="177">
        <v>0.6</v>
      </c>
      <c r="J56" s="178">
        <f>INDEX(Ref!$D$7:$G$40,MATCH('Weather Cases All'!D56,Ref!$C$7:$C$40,0),MATCH(LEFT(Control!$D$23,1)&amp;"MW",Ref!$D$6:$G$6,0))</f>
        <v>0.56499999999999995</v>
      </c>
      <c r="K56" s="178">
        <f>J56^2*0.6</f>
        <v>0.19153499999999996</v>
      </c>
      <c r="L56" s="473">
        <v>0</v>
      </c>
      <c r="M56" s="179">
        <v>0</v>
      </c>
      <c r="N56" s="179">
        <v>0</v>
      </c>
      <c r="O56" s="179">
        <f>Ref!$L$59</f>
        <v>5</v>
      </c>
      <c r="P56" s="204" t="s">
        <v>300</v>
      </c>
      <c r="Q56" s="179">
        <v>1</v>
      </c>
      <c r="R56" s="204" t="s">
        <v>300</v>
      </c>
      <c r="S56" s="197" t="s">
        <v>301</v>
      </c>
      <c r="T56" s="181">
        <f t="shared" si="1"/>
        <v>1</v>
      </c>
      <c r="U56" s="203"/>
      <c r="V56" s="166" t="s">
        <v>337</v>
      </c>
      <c r="W56" s="172"/>
      <c r="X56" s="166"/>
      <c r="Y56" s="166"/>
      <c r="AB56" s="126" t="s">
        <v>229</v>
      </c>
    </row>
    <row r="57" spans="1:28" s="6" customFormat="1" ht="14.25" x14ac:dyDescent="0.2">
      <c r="A57" s="200" t="s">
        <v>340</v>
      </c>
      <c r="B57" s="165" t="s">
        <v>341</v>
      </c>
      <c r="C57" s="164" t="s">
        <v>22</v>
      </c>
      <c r="D57" s="164" t="s">
        <v>22</v>
      </c>
      <c r="E57" s="319">
        <f>IF(OR(Control!$D$5="Y",L57=0),"-",1)</f>
        <v>1</v>
      </c>
      <c r="F57" s="323" t="s">
        <v>22</v>
      </c>
      <c r="G57" s="327" t="s">
        <v>118</v>
      </c>
      <c r="H57" s="176" t="str">
        <f>IF(G57="-",B57,B57&amp;"_"&amp;LEFT(Control!$D$22,LEN(Control!$D$22)-2))</f>
        <v>CM2S_8</v>
      </c>
      <c r="I57" s="177">
        <v>0.6</v>
      </c>
      <c r="J57" s="178">
        <f>(K57/0.6)^0.5</f>
        <v>5.7735026918962582</v>
      </c>
      <c r="K57" s="179">
        <f>Ref!$P$120</f>
        <v>20</v>
      </c>
      <c r="L57" s="473">
        <f>Ref!$N$120</f>
        <v>1</v>
      </c>
      <c r="M57" s="179">
        <f>Ref!$O$120</f>
        <v>3900</v>
      </c>
      <c r="N57" s="179">
        <v>0</v>
      </c>
      <c r="O57" s="181">
        <f>Ref!$L$58</f>
        <v>-5</v>
      </c>
      <c r="P57" s="204" t="s">
        <v>300</v>
      </c>
      <c r="Q57" s="179">
        <v>1</v>
      </c>
      <c r="R57" s="204" t="s">
        <v>300</v>
      </c>
      <c r="S57" s="198" t="s">
        <v>317</v>
      </c>
      <c r="T57" s="181">
        <f t="shared" si="1"/>
        <v>1.2</v>
      </c>
      <c r="U57" s="166"/>
      <c r="V57" s="166" t="s">
        <v>318</v>
      </c>
      <c r="W57" s="172" t="s">
        <v>342</v>
      </c>
      <c r="X57" s="166"/>
      <c r="Y57" s="166"/>
      <c r="AB57" s="126" t="s">
        <v>229</v>
      </c>
    </row>
    <row r="58" spans="1:28" s="6" customFormat="1" ht="14.25" hidden="1" x14ac:dyDescent="0.2">
      <c r="A58" s="200" t="s">
        <v>343</v>
      </c>
      <c r="B58" s="165" t="s">
        <v>344</v>
      </c>
      <c r="C58" s="164" t="s">
        <v>22</v>
      </c>
      <c r="D58" s="164" t="s">
        <v>22</v>
      </c>
      <c r="E58" s="319">
        <f>IF(OR(Control!$D$5="Y",L58=0),"-",1)</f>
        <v>1</v>
      </c>
      <c r="F58" s="323" t="s">
        <v>22</v>
      </c>
      <c r="G58" s="327" t="s">
        <v>118</v>
      </c>
      <c r="H58" s="176" t="str">
        <f>IF(G58="-",B58,B58&amp;"_"&amp;LEFT(Control!$D$22,LEN(Control!$D$22)-2))</f>
        <v>CM2I_8</v>
      </c>
      <c r="I58" s="177">
        <v>0.6</v>
      </c>
      <c r="J58" s="178">
        <f>(K58/0.6)^0.5</f>
        <v>5.7735026918962582</v>
      </c>
      <c r="K58" s="179">
        <f>Ref!$V$120</f>
        <v>20</v>
      </c>
      <c r="L58" s="473">
        <f>Ref!$T$120</f>
        <v>1.8</v>
      </c>
      <c r="M58" s="179">
        <f>Ref!$U$120</f>
        <v>6850</v>
      </c>
      <c r="N58" s="179">
        <v>0</v>
      </c>
      <c r="O58" s="181">
        <f>Ref!$L$57</f>
        <v>-14</v>
      </c>
      <c r="P58" s="204" t="s">
        <v>300</v>
      </c>
      <c r="Q58" s="179">
        <v>1</v>
      </c>
      <c r="R58" s="204" t="s">
        <v>300</v>
      </c>
      <c r="S58" s="198" t="s">
        <v>317</v>
      </c>
      <c r="T58" s="181">
        <f t="shared" si="1"/>
        <v>1.2</v>
      </c>
      <c r="U58" s="166"/>
      <c r="V58" s="166" t="s">
        <v>321</v>
      </c>
      <c r="W58" s="172" t="s">
        <v>342</v>
      </c>
      <c r="X58" s="166"/>
      <c r="Y58" s="166"/>
      <c r="AB58" s="126" t="s">
        <v>229</v>
      </c>
    </row>
    <row r="59" spans="1:28" s="6" customFormat="1" ht="14.25" x14ac:dyDescent="0.2">
      <c r="A59" s="200" t="s">
        <v>345</v>
      </c>
      <c r="B59" s="165" t="s">
        <v>346</v>
      </c>
      <c r="C59" s="164" t="s">
        <v>22</v>
      </c>
      <c r="D59" s="164">
        <v>4</v>
      </c>
      <c r="E59" s="319">
        <f>IF(OR(Control!$D$5="Y",SUM(K59:L59)=0),"-",1)</f>
        <v>1</v>
      </c>
      <c r="F59" s="323" t="str">
        <f>LEFT(Control!$D$23,1)</f>
        <v>A</v>
      </c>
      <c r="G59" s="327" t="s">
        <v>118</v>
      </c>
      <c r="H59" s="176" t="str">
        <f>IF(G59="-",B59,B59&amp;"_"&amp;LEFT(Control!$D$23,1)&amp;LEFT(Control!$D$22,LEN(Control!$D$22)-2))</f>
        <v>CM3_A8</v>
      </c>
      <c r="I59" s="177">
        <v>0.6</v>
      </c>
      <c r="J59" s="178">
        <f>INDEX(Ref!$D$7:$G$40,MATCH('Weather Cases All'!D59,Ref!$C$7:$C$40,0),MATCH(LEFT(Control!$D$23,1)&amp;"MW",Ref!$D$6:$G$6,0))</f>
        <v>0.68100000000000005</v>
      </c>
      <c r="K59" s="178">
        <f>J59^2*0.6</f>
        <v>0.27825660000000002</v>
      </c>
      <c r="L59" s="473">
        <v>0</v>
      </c>
      <c r="M59" s="179">
        <v>0</v>
      </c>
      <c r="N59" s="179">
        <v>0</v>
      </c>
      <c r="O59" s="179">
        <f>Ref!$L$57</f>
        <v>-14</v>
      </c>
      <c r="P59" s="204" t="s">
        <v>300</v>
      </c>
      <c r="Q59" s="179">
        <v>1</v>
      </c>
      <c r="R59" s="204" t="s">
        <v>300</v>
      </c>
      <c r="S59" s="197" t="s">
        <v>301</v>
      </c>
      <c r="T59" s="181">
        <f t="shared" si="1"/>
        <v>1</v>
      </c>
      <c r="U59" s="203"/>
      <c r="V59" s="166" t="s">
        <v>310</v>
      </c>
      <c r="W59" s="172"/>
      <c r="X59" s="166"/>
      <c r="Y59" s="166"/>
    </row>
    <row r="60" spans="1:28" s="6" customFormat="1" ht="14.25" x14ac:dyDescent="0.2">
      <c r="A60" s="200" t="s">
        <v>347</v>
      </c>
      <c r="B60" s="165" t="s">
        <v>348</v>
      </c>
      <c r="C60" s="164" t="s">
        <v>22</v>
      </c>
      <c r="D60" s="164" t="s">
        <v>22</v>
      </c>
      <c r="E60" s="319">
        <f>IF(OR(Control!$D$5="Y",L60=0),"-",1)</f>
        <v>1</v>
      </c>
      <c r="F60" s="323" t="s">
        <v>22</v>
      </c>
      <c r="G60" s="327" t="s">
        <v>118</v>
      </c>
      <c r="H60" s="176" t="str">
        <f>IF(G60="-",B60,B60&amp;"_"&amp;LEFT(Control!$D$22,LEN(Control!$D$22)-2))</f>
        <v>CM3S_8</v>
      </c>
      <c r="I60" s="177">
        <v>0.6</v>
      </c>
      <c r="J60" s="178">
        <f>(K60/0.6)^0.5</f>
        <v>5.7735026918962582</v>
      </c>
      <c r="K60" s="182">
        <f>Ref!$P$120</f>
        <v>20</v>
      </c>
      <c r="L60" s="473">
        <f>L57</f>
        <v>1</v>
      </c>
      <c r="M60" s="179">
        <f>M57</f>
        <v>3900</v>
      </c>
      <c r="N60" s="179">
        <v>0</v>
      </c>
      <c r="O60" s="181">
        <f>Ref!$L$58</f>
        <v>-5</v>
      </c>
      <c r="P60" s="204" t="s">
        <v>300</v>
      </c>
      <c r="Q60" s="179">
        <v>1</v>
      </c>
      <c r="R60" s="204" t="s">
        <v>300</v>
      </c>
      <c r="S60" s="198" t="s">
        <v>317</v>
      </c>
      <c r="T60" s="181">
        <f t="shared" si="1"/>
        <v>1.2</v>
      </c>
      <c r="U60" s="166"/>
      <c r="V60" s="166" t="s">
        <v>318</v>
      </c>
      <c r="W60" s="172" t="s">
        <v>349</v>
      </c>
      <c r="X60" s="166"/>
      <c r="Y60" s="166"/>
      <c r="AB60" s="126" t="s">
        <v>229</v>
      </c>
    </row>
    <row r="61" spans="1:28" s="6" customFormat="1" ht="14.25" hidden="1" x14ac:dyDescent="0.2">
      <c r="A61" s="200" t="s">
        <v>350</v>
      </c>
      <c r="B61" s="165" t="s">
        <v>351</v>
      </c>
      <c r="C61" s="164" t="s">
        <v>22</v>
      </c>
      <c r="D61" s="164" t="s">
        <v>22</v>
      </c>
      <c r="E61" s="319">
        <f>IF(OR(Control!$D$5="Y",L61=0),"-",1)</f>
        <v>1</v>
      </c>
      <c r="F61" s="323" t="s">
        <v>22</v>
      </c>
      <c r="G61" s="327" t="s">
        <v>118</v>
      </c>
      <c r="H61" s="176" t="str">
        <f>IF(G61="-",B61,B61&amp;"_"&amp;LEFT(Control!$D$22,LEN(Control!$D$22)-2))</f>
        <v>CM3I_8</v>
      </c>
      <c r="I61" s="177">
        <v>0.6</v>
      </c>
      <c r="J61" s="178">
        <f>(K61/0.6)^0.5</f>
        <v>5.7735026918962582</v>
      </c>
      <c r="K61" s="179">
        <f>Ref!$V$120</f>
        <v>20</v>
      </c>
      <c r="L61" s="473">
        <f>L58</f>
        <v>1.8</v>
      </c>
      <c r="M61" s="179">
        <f>M58</f>
        <v>6850</v>
      </c>
      <c r="N61" s="179">
        <v>0</v>
      </c>
      <c r="O61" s="181">
        <f>Ref!$L$57</f>
        <v>-14</v>
      </c>
      <c r="P61" s="204" t="s">
        <v>300</v>
      </c>
      <c r="Q61" s="179">
        <v>1</v>
      </c>
      <c r="R61" s="204" t="s">
        <v>300</v>
      </c>
      <c r="S61" s="198" t="s">
        <v>317</v>
      </c>
      <c r="T61" s="181">
        <f t="shared" si="1"/>
        <v>1.2</v>
      </c>
      <c r="U61" s="166"/>
      <c r="V61" s="166" t="s">
        <v>321</v>
      </c>
      <c r="W61" s="172" t="s">
        <v>349</v>
      </c>
      <c r="X61" s="166"/>
      <c r="Y61" s="166"/>
      <c r="AB61" s="126" t="s">
        <v>229</v>
      </c>
    </row>
    <row r="62" spans="1:28" s="6" customFormat="1" ht="22.9" hidden="1" customHeight="1" x14ac:dyDescent="0.2">
      <c r="A62" s="471" t="s">
        <v>352</v>
      </c>
      <c r="B62" s="165"/>
      <c r="C62" s="475" t="s">
        <v>353</v>
      </c>
      <c r="D62" s="476"/>
      <c r="E62" s="319" t="s">
        <v>22</v>
      </c>
      <c r="F62" s="323" t="s">
        <v>22</v>
      </c>
      <c r="G62" s="327" t="s">
        <v>22</v>
      </c>
      <c r="H62" s="477"/>
      <c r="I62" s="473"/>
      <c r="J62" s="355"/>
      <c r="K62" s="355"/>
      <c r="L62" s="504"/>
      <c r="M62" s="355"/>
      <c r="N62" s="355"/>
      <c r="O62" s="355"/>
      <c r="P62" s="204" t="s">
        <v>300</v>
      </c>
      <c r="Q62" s="355"/>
      <c r="R62" s="204" t="s">
        <v>300</v>
      </c>
      <c r="S62" s="478"/>
      <c r="T62" s="355"/>
      <c r="U62" s="202"/>
      <c r="V62" s="166"/>
      <c r="W62" s="172"/>
      <c r="X62" s="166"/>
      <c r="Y62" s="166"/>
    </row>
    <row r="63" spans="1:28" s="6" customFormat="1" x14ac:dyDescent="0.2">
      <c r="A63" s="200" t="s">
        <v>354</v>
      </c>
      <c r="B63" s="165" t="s">
        <v>355</v>
      </c>
      <c r="C63" s="165" t="s">
        <v>22</v>
      </c>
      <c r="D63" s="165" t="s">
        <v>22</v>
      </c>
      <c r="E63" s="319">
        <f>IF(Control!$D10="*None*","-",1)</f>
        <v>1</v>
      </c>
      <c r="F63" s="323" t="s">
        <v>22</v>
      </c>
      <c r="G63" s="327" t="s">
        <v>22</v>
      </c>
      <c r="H63" s="176" t="str">
        <f>B63</f>
        <v>VDC</v>
      </c>
      <c r="I63" s="177">
        <v>0.6</v>
      </c>
      <c r="J63" s="178">
        <f>(K63/0.6)^0.5</f>
        <v>7.0710678118654755</v>
      </c>
      <c r="K63" s="181">
        <v>30</v>
      </c>
      <c r="L63" s="177">
        <v>0</v>
      </c>
      <c r="M63" s="181">
        <v>0</v>
      </c>
      <c r="N63" s="181">
        <v>0</v>
      </c>
      <c r="O63" s="181">
        <f>Ref!$L$54</f>
        <v>5</v>
      </c>
      <c r="P63" s="204" t="s">
        <v>300</v>
      </c>
      <c r="Q63" s="179">
        <v>1</v>
      </c>
      <c r="R63" s="204" t="s">
        <v>300</v>
      </c>
      <c r="S63" s="198" t="s">
        <v>317</v>
      </c>
      <c r="T63" s="181">
        <f t="shared" si="1"/>
        <v>1</v>
      </c>
      <c r="U63" s="166"/>
      <c r="V63" s="166"/>
      <c r="W63" s="172"/>
      <c r="X63" s="166"/>
      <c r="Y63" s="166"/>
    </row>
    <row r="64" spans="1:28" s="6" customFormat="1" ht="14.25" x14ac:dyDescent="0.2">
      <c r="A64" s="200" t="s">
        <v>356</v>
      </c>
      <c r="B64" s="165" t="s">
        <v>357</v>
      </c>
      <c r="C64" s="165" t="s">
        <v>22</v>
      </c>
      <c r="D64" s="165" t="s">
        <v>22</v>
      </c>
      <c r="E64" s="319">
        <f>IF(Control!$D$5="Y","-",1)</f>
        <v>1</v>
      </c>
      <c r="F64" s="323" t="s">
        <v>22</v>
      </c>
      <c r="G64" s="327" t="s">
        <v>22</v>
      </c>
      <c r="H64" s="176" t="str">
        <f>B64</f>
        <v>EDS</v>
      </c>
      <c r="I64" s="177">
        <v>0.6</v>
      </c>
      <c r="J64" s="181">
        <v>0</v>
      </c>
      <c r="K64" s="181">
        <v>0</v>
      </c>
      <c r="L64" s="177">
        <v>0</v>
      </c>
      <c r="M64" s="181">
        <v>0</v>
      </c>
      <c r="N64" s="181">
        <v>0</v>
      </c>
      <c r="O64" s="181">
        <f>Ref!$L$54</f>
        <v>5</v>
      </c>
      <c r="P64" s="204" t="s">
        <v>300</v>
      </c>
      <c r="Q64" s="179">
        <v>1</v>
      </c>
      <c r="R64" s="204" t="s">
        <v>300</v>
      </c>
      <c r="S64" s="198" t="s">
        <v>317</v>
      </c>
      <c r="T64" s="181">
        <f t="shared" si="1"/>
        <v>1</v>
      </c>
      <c r="U64" s="166"/>
      <c r="V64" s="166" t="s">
        <v>328</v>
      </c>
      <c r="W64" s="172"/>
      <c r="X64" s="166"/>
      <c r="Y64" s="166"/>
    </row>
    <row r="65" spans="1:28" s="6" customFormat="1" x14ac:dyDescent="0.2">
      <c r="A65" s="566" t="s">
        <v>1114</v>
      </c>
      <c r="B65" s="567" t="s">
        <v>357</v>
      </c>
      <c r="C65" s="567" t="s">
        <v>22</v>
      </c>
      <c r="D65" s="567" t="s">
        <v>22</v>
      </c>
      <c r="E65" s="566">
        <f>IF(NOT(Control!$D10="*None*"),1,"-")</f>
        <v>1</v>
      </c>
      <c r="F65" s="568" t="s">
        <v>22</v>
      </c>
      <c r="G65" s="569" t="s">
        <v>22</v>
      </c>
      <c r="H65" s="570" t="str">
        <f>"EDS_"&amp;Control!$I10&amp;"(tedd)"</f>
        <v>EDS_120(tedd)</v>
      </c>
      <c r="I65" s="571">
        <v>0.6</v>
      </c>
      <c r="J65" s="567">
        <v>0</v>
      </c>
      <c r="K65" s="567">
        <v>0</v>
      </c>
      <c r="L65" s="571">
        <v>0</v>
      </c>
      <c r="M65" s="567">
        <v>0</v>
      </c>
      <c r="N65" s="567">
        <v>0</v>
      </c>
      <c r="O65" s="567">
        <f>Ref!$L$66</f>
        <v>42</v>
      </c>
      <c r="P65" s="572"/>
      <c r="Q65" s="573">
        <v>1</v>
      </c>
      <c r="R65" s="572"/>
      <c r="S65" s="574" t="s">
        <v>317</v>
      </c>
      <c r="T65" s="567">
        <f t="shared" ref="T65:T67" si="6">IF(L65&gt;0,1.2,1)</f>
        <v>1</v>
      </c>
      <c r="U65" s="166"/>
      <c r="V65" s="166"/>
      <c r="W65" s="172"/>
      <c r="X65" s="166"/>
      <c r="Y65" s="166"/>
    </row>
    <row r="66" spans="1:28" s="6" customFormat="1" x14ac:dyDescent="0.2">
      <c r="A66" s="566" t="s">
        <v>1115</v>
      </c>
      <c r="B66" s="567" t="s">
        <v>357</v>
      </c>
      <c r="C66" s="567" t="s">
        <v>22</v>
      </c>
      <c r="D66" s="567" t="s">
        <v>22</v>
      </c>
      <c r="E66" s="566" t="str">
        <f>IF(AND(NOT(Control!$D11="*None*"),NOT(ISNUMBER(MATCH(Control!$I11,Control!$I10,0)))),1,"-")</f>
        <v>-</v>
      </c>
      <c r="F66" s="568" t="s">
        <v>22</v>
      </c>
      <c r="G66" s="569" t="s">
        <v>22</v>
      </c>
      <c r="H66" s="570" t="str">
        <f>"EDS_"&amp;Control!$I11&amp;"(tedd)"</f>
        <v>EDS_90(tedd)</v>
      </c>
      <c r="I66" s="571">
        <v>0.6</v>
      </c>
      <c r="J66" s="567">
        <v>0</v>
      </c>
      <c r="K66" s="567">
        <v>0</v>
      </c>
      <c r="L66" s="571">
        <v>0</v>
      </c>
      <c r="M66" s="567">
        <v>0</v>
      </c>
      <c r="N66" s="567">
        <v>0</v>
      </c>
      <c r="O66" s="567">
        <f>Ref!$M$66</f>
        <v>39</v>
      </c>
      <c r="P66" s="572"/>
      <c r="Q66" s="573">
        <v>1</v>
      </c>
      <c r="R66" s="572"/>
      <c r="S66" s="574" t="s">
        <v>317</v>
      </c>
      <c r="T66" s="567">
        <f t="shared" si="6"/>
        <v>1</v>
      </c>
      <c r="U66" s="166"/>
      <c r="V66" s="166"/>
      <c r="W66" s="172"/>
      <c r="X66" s="166"/>
      <c r="Y66" s="166"/>
    </row>
    <row r="67" spans="1:28" s="6" customFormat="1" hidden="1" x14ac:dyDescent="0.2">
      <c r="A67" s="566" t="s">
        <v>1116</v>
      </c>
      <c r="B67" s="567" t="s">
        <v>357</v>
      </c>
      <c r="C67" s="567" t="s">
        <v>22</v>
      </c>
      <c r="D67" s="567" t="s">
        <v>22</v>
      </c>
      <c r="E67" s="566" t="str">
        <f>IF(AND(NOT(Control!$D12="*None*"),NOT(ISNUMBER(MATCH(Control!$I12,Control!$I10:$I11,0)))),1,"-")</f>
        <v>-</v>
      </c>
      <c r="F67" s="568" t="s">
        <v>22</v>
      </c>
      <c r="G67" s="569" t="s">
        <v>22</v>
      </c>
      <c r="H67" s="570" t="str">
        <f>"EDS_"&amp;Control!$I12&amp;"(tedd)"</f>
        <v>EDS_120(tedd)</v>
      </c>
      <c r="I67" s="571">
        <v>0.6</v>
      </c>
      <c r="J67" s="567">
        <v>0</v>
      </c>
      <c r="K67" s="567">
        <v>0</v>
      </c>
      <c r="L67" s="571">
        <v>0</v>
      </c>
      <c r="M67" s="567">
        <v>0</v>
      </c>
      <c r="N67" s="567">
        <v>0</v>
      </c>
      <c r="O67" s="567">
        <f>Ref!$N$66</f>
        <v>42</v>
      </c>
      <c r="P67" s="572"/>
      <c r="Q67" s="573">
        <v>1</v>
      </c>
      <c r="R67" s="572"/>
      <c r="S67" s="574" t="s">
        <v>317</v>
      </c>
      <c r="T67" s="567">
        <f t="shared" si="6"/>
        <v>1</v>
      </c>
      <c r="U67" s="166"/>
      <c r="V67" s="166"/>
      <c r="W67" s="172"/>
      <c r="X67" s="166"/>
      <c r="Y67" s="166"/>
    </row>
    <row r="68" spans="1:28" s="6" customFormat="1" ht="14.25" hidden="1" x14ac:dyDescent="0.2">
      <c r="A68" s="566" t="s">
        <v>1117</v>
      </c>
      <c r="B68" s="567" t="s">
        <v>357</v>
      </c>
      <c r="C68" s="567" t="s">
        <v>22</v>
      </c>
      <c r="D68" s="567" t="s">
        <v>22</v>
      </c>
      <c r="E68" s="566" t="str">
        <f>IF(AND(NOT(Control!$D13="*None*"),NOT(ISNUMBER(MATCH(Control!$I13,Control!$I10:$I12,0)))),1,"-")</f>
        <v>-</v>
      </c>
      <c r="F68" s="568" t="s">
        <v>22</v>
      </c>
      <c r="G68" s="569" t="s">
        <v>22</v>
      </c>
      <c r="H68" s="570" t="str">
        <f>"EDS_"&amp;Control!$I13&amp;"(tedd)"</f>
        <v>EDS_(tedd)</v>
      </c>
      <c r="I68" s="571">
        <v>0.6</v>
      </c>
      <c r="J68" s="567">
        <v>0</v>
      </c>
      <c r="K68" s="567">
        <v>0</v>
      </c>
      <c r="L68" s="571">
        <v>0</v>
      </c>
      <c r="M68" s="567">
        <v>0</v>
      </c>
      <c r="N68" s="567">
        <v>0</v>
      </c>
      <c r="O68" s="567">
        <f>Ref!$O$66</f>
        <v>0</v>
      </c>
      <c r="P68" s="572" t="s">
        <v>300</v>
      </c>
      <c r="Q68" s="573">
        <v>1</v>
      </c>
      <c r="R68" s="572" t="s">
        <v>300</v>
      </c>
      <c r="S68" s="574" t="s">
        <v>317</v>
      </c>
      <c r="T68" s="567">
        <f t="shared" ref="T68" si="7">IF(L68&gt;0,1.2,1)</f>
        <v>1</v>
      </c>
      <c r="U68" s="166"/>
      <c r="V68" s="166" t="s">
        <v>328</v>
      </c>
      <c r="W68" s="172"/>
      <c r="X68" s="166"/>
      <c r="Y68" s="166"/>
    </row>
    <row r="69" spans="1:28" s="6" customFormat="1" ht="14.25" x14ac:dyDescent="0.2">
      <c r="A69" s="200" t="s">
        <v>358</v>
      </c>
      <c r="B69" s="165" t="s">
        <v>359</v>
      </c>
      <c r="C69" s="165" t="s">
        <v>22</v>
      </c>
      <c r="D69" s="165" t="s">
        <v>22</v>
      </c>
      <c r="E69" s="319">
        <f>IF(Control!$D$5="Y","-",1)</f>
        <v>1</v>
      </c>
      <c r="F69" s="323" t="s">
        <v>22</v>
      </c>
      <c r="G69" s="327" t="s">
        <v>22</v>
      </c>
      <c r="H69" s="176" t="str">
        <f>B69</f>
        <v>EDW</v>
      </c>
      <c r="I69" s="177">
        <v>0.6</v>
      </c>
      <c r="J69" s="178">
        <f>(K69/0.6)^0.5</f>
        <v>12.909944487358057</v>
      </c>
      <c r="K69" s="181">
        <v>100</v>
      </c>
      <c r="L69" s="177">
        <v>0</v>
      </c>
      <c r="M69" s="181">
        <v>0</v>
      </c>
      <c r="N69" s="181">
        <v>0</v>
      </c>
      <c r="O69" s="181">
        <f>Ref!$L$54</f>
        <v>5</v>
      </c>
      <c r="P69" s="204"/>
      <c r="Q69" s="179">
        <v>1</v>
      </c>
      <c r="R69" s="204"/>
      <c r="S69" s="198" t="s">
        <v>317</v>
      </c>
      <c r="T69" s="181">
        <f t="shared" si="1"/>
        <v>1</v>
      </c>
      <c r="U69" s="166"/>
      <c r="V69" s="166" t="s">
        <v>328</v>
      </c>
      <c r="W69" s="172"/>
      <c r="X69" s="166"/>
      <c r="Y69" s="166"/>
    </row>
    <row r="70" spans="1:28" s="6" customFormat="1" ht="14.25" x14ac:dyDescent="0.2">
      <c r="A70" s="200" t="s">
        <v>360</v>
      </c>
      <c r="B70" s="165" t="s">
        <v>361</v>
      </c>
      <c r="C70" s="165" t="s">
        <v>22</v>
      </c>
      <c r="D70" s="165" t="s">
        <v>22</v>
      </c>
      <c r="E70" s="319">
        <f>IF(Control!$D$5="Y","-",1)</f>
        <v>1</v>
      </c>
      <c r="F70" s="323" t="s">
        <v>22</v>
      </c>
      <c r="G70" s="327" t="s">
        <v>22</v>
      </c>
      <c r="H70" s="176" t="str">
        <f>B70</f>
        <v>FTD</v>
      </c>
      <c r="I70" s="177">
        <v>0.6</v>
      </c>
      <c r="J70" s="178">
        <f>(K70/0.6)^0.5</f>
        <v>18.257418583505537</v>
      </c>
      <c r="K70" s="181">
        <v>200</v>
      </c>
      <c r="L70" s="177">
        <v>0</v>
      </c>
      <c r="M70" s="181">
        <v>0</v>
      </c>
      <c r="N70" s="181">
        <v>0</v>
      </c>
      <c r="O70" s="181">
        <f>Ref!L66</f>
        <v>42</v>
      </c>
      <c r="P70" s="204"/>
      <c r="Q70" s="179">
        <v>1</v>
      </c>
      <c r="R70" s="204"/>
      <c r="S70" s="198" t="s">
        <v>317</v>
      </c>
      <c r="T70" s="181">
        <f t="shared" si="1"/>
        <v>1</v>
      </c>
      <c r="U70" s="166"/>
      <c r="V70" s="166" t="s">
        <v>362</v>
      </c>
      <c r="W70" s="172" t="s">
        <v>363</v>
      </c>
      <c r="X70" s="166"/>
      <c r="Y70" s="166"/>
      <c r="AB70" s="126" t="s">
        <v>229</v>
      </c>
    </row>
    <row r="71" spans="1:28" s="6" customFormat="1" ht="14.25" x14ac:dyDescent="0.2">
      <c r="A71" s="200" t="s">
        <v>364</v>
      </c>
      <c r="B71" s="165" t="s">
        <v>365</v>
      </c>
      <c r="C71" s="312">
        <f>Control!I10</f>
        <v>120</v>
      </c>
      <c r="D71" s="165" t="s">
        <v>22</v>
      </c>
      <c r="E71" s="319">
        <f>IF(Control!$D10="*None*","-",1)</f>
        <v>1</v>
      </c>
      <c r="F71" s="323" t="s">
        <v>22</v>
      </c>
      <c r="G71" s="327" t="s">
        <v>22</v>
      </c>
      <c r="H71" s="176" t="str">
        <f>B71&amp;"_"&amp;C71</f>
        <v>MOT_120</v>
      </c>
      <c r="I71" s="177">
        <v>0.6</v>
      </c>
      <c r="J71" s="181">
        <v>0</v>
      </c>
      <c r="K71" s="181">
        <v>0</v>
      </c>
      <c r="L71" s="177">
        <v>0</v>
      </c>
      <c r="M71" s="181">
        <v>0</v>
      </c>
      <c r="N71" s="181">
        <v>0</v>
      </c>
      <c r="O71" s="180">
        <f>C71</f>
        <v>120</v>
      </c>
      <c r="P71" s="204" t="s">
        <v>300</v>
      </c>
      <c r="Q71" s="179">
        <v>1</v>
      </c>
      <c r="R71" s="204" t="s">
        <v>300</v>
      </c>
      <c r="S71" s="198" t="s">
        <v>317</v>
      </c>
      <c r="T71" s="181">
        <f t="shared" si="1"/>
        <v>1</v>
      </c>
      <c r="U71" s="166"/>
      <c r="V71" s="166" t="s">
        <v>366</v>
      </c>
      <c r="W71" s="173"/>
      <c r="X71" s="166"/>
      <c r="Y71" s="166"/>
    </row>
    <row r="72" spans="1:28" s="6" customFormat="1" ht="14.25" x14ac:dyDescent="0.2">
      <c r="A72" s="200" t="s">
        <v>367</v>
      </c>
      <c r="B72" s="165" t="s">
        <v>365</v>
      </c>
      <c r="C72" s="312">
        <f>Control!I11</f>
        <v>90</v>
      </c>
      <c r="D72" s="165" t="s">
        <v>22</v>
      </c>
      <c r="E72" s="319" t="str">
        <f>IF(OR(Control!$D$11="*None*",C72=C71,C72=0),"-",1)</f>
        <v>-</v>
      </c>
      <c r="F72" s="323" t="s">
        <v>22</v>
      </c>
      <c r="G72" s="327" t="s">
        <v>22</v>
      </c>
      <c r="H72" s="176" t="str">
        <f>B72&amp;"_"&amp;C72</f>
        <v>MOT_90</v>
      </c>
      <c r="I72" s="177">
        <v>0.6</v>
      </c>
      <c r="J72" s="181">
        <v>0</v>
      </c>
      <c r="K72" s="181">
        <v>0</v>
      </c>
      <c r="L72" s="177">
        <v>0</v>
      </c>
      <c r="M72" s="181">
        <v>0</v>
      </c>
      <c r="N72" s="181">
        <v>0</v>
      </c>
      <c r="O72" s="180">
        <f t="shared" ref="O72:O74" si="8">C72</f>
        <v>90</v>
      </c>
      <c r="P72" s="204" t="s">
        <v>300</v>
      </c>
      <c r="Q72" s="179">
        <v>1</v>
      </c>
      <c r="R72" s="204" t="s">
        <v>300</v>
      </c>
      <c r="S72" s="198" t="s">
        <v>317</v>
      </c>
      <c r="T72" s="181">
        <f t="shared" si="1"/>
        <v>1</v>
      </c>
      <c r="U72" s="166"/>
      <c r="V72" s="166" t="s">
        <v>366</v>
      </c>
      <c r="W72" s="173"/>
      <c r="X72" s="166"/>
      <c r="Y72" s="166"/>
    </row>
    <row r="73" spans="1:28" s="6" customFormat="1" ht="14.25" hidden="1" x14ac:dyDescent="0.2">
      <c r="A73" s="200" t="s">
        <v>368</v>
      </c>
      <c r="B73" s="165" t="s">
        <v>365</v>
      </c>
      <c r="C73" s="312">
        <f>Control!I12</f>
        <v>120</v>
      </c>
      <c r="D73" s="165" t="s">
        <v>22</v>
      </c>
      <c r="E73" s="319" t="str">
        <f>IF(OR(Control!$D$12="*None*",C73=$C$72,C73=$C$71,C73=0),"-",1)</f>
        <v>-</v>
      </c>
      <c r="F73" s="323" t="s">
        <v>22</v>
      </c>
      <c r="G73" s="327" t="s">
        <v>22</v>
      </c>
      <c r="H73" s="176" t="str">
        <f>B73&amp;"_"&amp;C73</f>
        <v>MOT_120</v>
      </c>
      <c r="I73" s="177">
        <v>0.6</v>
      </c>
      <c r="J73" s="181">
        <v>0</v>
      </c>
      <c r="K73" s="181">
        <v>0</v>
      </c>
      <c r="L73" s="177">
        <v>0</v>
      </c>
      <c r="M73" s="181">
        <v>0</v>
      </c>
      <c r="N73" s="181">
        <v>0</v>
      </c>
      <c r="O73" s="180">
        <f t="shared" si="8"/>
        <v>120</v>
      </c>
      <c r="P73" s="204" t="s">
        <v>300</v>
      </c>
      <c r="Q73" s="179">
        <v>1</v>
      </c>
      <c r="R73" s="204" t="s">
        <v>300</v>
      </c>
      <c r="S73" s="198" t="s">
        <v>317</v>
      </c>
      <c r="T73" s="181">
        <f t="shared" si="1"/>
        <v>1</v>
      </c>
      <c r="U73" s="166"/>
      <c r="V73" s="166" t="s">
        <v>366</v>
      </c>
      <c r="W73" s="173"/>
      <c r="X73" s="166"/>
      <c r="Y73" s="166"/>
    </row>
    <row r="74" spans="1:28" s="6" customFormat="1" ht="14.25" hidden="1" x14ac:dyDescent="0.2">
      <c r="A74" s="200" t="s">
        <v>369</v>
      </c>
      <c r="B74" s="165" t="s">
        <v>365</v>
      </c>
      <c r="C74" s="312">
        <f>Control!I13</f>
        <v>0</v>
      </c>
      <c r="D74" s="165" t="s">
        <v>22</v>
      </c>
      <c r="E74" s="319" t="str">
        <f>IF(OR(Control!$D$13="*None*",C74=$C$72,C74=$C$71,C74=C73,C74=0),"-",1)</f>
        <v>-</v>
      </c>
      <c r="F74" s="323" t="s">
        <v>22</v>
      </c>
      <c r="G74" s="327" t="s">
        <v>22</v>
      </c>
      <c r="H74" s="176" t="str">
        <f>B74&amp;"_"&amp;C74</f>
        <v>MOT_0</v>
      </c>
      <c r="I74" s="177">
        <v>0.6</v>
      </c>
      <c r="J74" s="181">
        <v>0</v>
      </c>
      <c r="K74" s="181">
        <v>0</v>
      </c>
      <c r="L74" s="177">
        <v>0</v>
      </c>
      <c r="M74" s="181">
        <v>0</v>
      </c>
      <c r="N74" s="181">
        <v>0</v>
      </c>
      <c r="O74" s="180">
        <f t="shared" si="8"/>
        <v>0</v>
      </c>
      <c r="P74" s="204" t="s">
        <v>300</v>
      </c>
      <c r="Q74" s="179">
        <v>1</v>
      </c>
      <c r="R74" s="204" t="s">
        <v>300</v>
      </c>
      <c r="S74" s="198" t="s">
        <v>317</v>
      </c>
      <c r="T74" s="181">
        <f t="shared" si="1"/>
        <v>1</v>
      </c>
      <c r="U74" s="166"/>
      <c r="V74" s="166" t="s">
        <v>366</v>
      </c>
      <c r="W74" s="173"/>
      <c r="X74" s="166"/>
      <c r="Y74" s="166"/>
    </row>
    <row r="75" spans="1:28" s="6" customFormat="1" ht="14.25" x14ac:dyDescent="0.2">
      <c r="A75" s="200" t="s">
        <v>370</v>
      </c>
      <c r="B75" s="165" t="s">
        <v>371</v>
      </c>
      <c r="C75" s="312">
        <f>C71</f>
        <v>120</v>
      </c>
      <c r="D75" s="165" t="s">
        <v>22</v>
      </c>
      <c r="E75" s="319">
        <f>IF(Control!$D$10="*None*","-",1)</f>
        <v>1</v>
      </c>
      <c r="F75" s="323" t="s">
        <v>22</v>
      </c>
      <c r="G75" s="327" t="s">
        <v>22</v>
      </c>
      <c r="H75" s="176" t="str">
        <f t="shared" ref="H75:H78" si="9">B75&amp;"_"&amp;C75</f>
        <v>EDD_120</v>
      </c>
      <c r="I75" s="177">
        <v>0.6</v>
      </c>
      <c r="J75" s="178">
        <f>(K75/0.6)^0.5</f>
        <v>12.909944487358057</v>
      </c>
      <c r="K75" s="181">
        <v>100</v>
      </c>
      <c r="L75" s="177">
        <v>0</v>
      </c>
      <c r="M75" s="181">
        <v>0</v>
      </c>
      <c r="N75" s="181">
        <v>0</v>
      </c>
      <c r="O75" s="180">
        <f>Ref!L66</f>
        <v>42</v>
      </c>
      <c r="P75" s="204" t="s">
        <v>300</v>
      </c>
      <c r="Q75" s="179">
        <v>1</v>
      </c>
      <c r="R75" s="204" t="s">
        <v>300</v>
      </c>
      <c r="S75" s="198" t="s">
        <v>317</v>
      </c>
      <c r="T75" s="181">
        <f t="shared" si="1"/>
        <v>1</v>
      </c>
      <c r="U75" s="166"/>
      <c r="V75" s="166" t="s">
        <v>362</v>
      </c>
      <c r="W75" s="172"/>
      <c r="X75" s="166"/>
      <c r="Y75" s="166"/>
    </row>
    <row r="76" spans="1:28" s="6" customFormat="1" ht="14.25" x14ac:dyDescent="0.2">
      <c r="A76" s="200" t="s">
        <v>372</v>
      </c>
      <c r="B76" s="165" t="s">
        <v>371</v>
      </c>
      <c r="C76" s="312">
        <f t="shared" ref="C76:C78" si="10">C72</f>
        <v>90</v>
      </c>
      <c r="D76" s="165" t="s">
        <v>22</v>
      </c>
      <c r="E76" s="319" t="str">
        <f>IF(OR(Control!$D$11="*None*",C76=C75,C76=0),"-",1)</f>
        <v>-</v>
      </c>
      <c r="F76" s="323" t="s">
        <v>22</v>
      </c>
      <c r="G76" s="327" t="s">
        <v>22</v>
      </c>
      <c r="H76" s="176" t="str">
        <f t="shared" si="9"/>
        <v>EDD_90</v>
      </c>
      <c r="I76" s="177">
        <v>0.6</v>
      </c>
      <c r="J76" s="178">
        <f t="shared" ref="J76:J78" si="11">(K76/0.6)^0.5</f>
        <v>12.909944487358057</v>
      </c>
      <c r="K76" s="181">
        <v>100</v>
      </c>
      <c r="L76" s="177">
        <v>0</v>
      </c>
      <c r="M76" s="181">
        <v>0</v>
      </c>
      <c r="N76" s="181">
        <v>0</v>
      </c>
      <c r="O76" s="180">
        <f>Ref!M66</f>
        <v>39</v>
      </c>
      <c r="P76" s="204" t="s">
        <v>300</v>
      </c>
      <c r="Q76" s="179">
        <v>1</v>
      </c>
      <c r="R76" s="204" t="s">
        <v>300</v>
      </c>
      <c r="S76" s="198" t="s">
        <v>317</v>
      </c>
      <c r="T76" s="181">
        <f t="shared" si="1"/>
        <v>1</v>
      </c>
      <c r="U76" s="166"/>
      <c r="V76" s="166" t="s">
        <v>362</v>
      </c>
      <c r="W76" s="172"/>
      <c r="X76" s="166"/>
      <c r="Y76" s="166"/>
    </row>
    <row r="77" spans="1:28" s="6" customFormat="1" ht="14.25" hidden="1" x14ac:dyDescent="0.2">
      <c r="A77" s="200" t="s">
        <v>373</v>
      </c>
      <c r="B77" s="165" t="s">
        <v>371</v>
      </c>
      <c r="C77" s="312">
        <f t="shared" si="10"/>
        <v>120</v>
      </c>
      <c r="D77" s="165" t="s">
        <v>22</v>
      </c>
      <c r="E77" s="319" t="str">
        <f>IF(OR(Control!$D$12="*None*",C77=$C$72,C77=$C$71,C77=0),"-",1)</f>
        <v>-</v>
      </c>
      <c r="F77" s="323" t="s">
        <v>22</v>
      </c>
      <c r="G77" s="327" t="s">
        <v>22</v>
      </c>
      <c r="H77" s="176" t="str">
        <f t="shared" si="9"/>
        <v>EDD_120</v>
      </c>
      <c r="I77" s="177">
        <v>0.6</v>
      </c>
      <c r="J77" s="178">
        <f t="shared" si="11"/>
        <v>12.909944487358057</v>
      </c>
      <c r="K77" s="181">
        <v>100</v>
      </c>
      <c r="L77" s="177">
        <v>0</v>
      </c>
      <c r="M77" s="181">
        <v>0</v>
      </c>
      <c r="N77" s="181">
        <v>0</v>
      </c>
      <c r="O77" s="180">
        <f>Ref!N66</f>
        <v>42</v>
      </c>
      <c r="P77" s="204" t="s">
        <v>300</v>
      </c>
      <c r="Q77" s="179">
        <v>1</v>
      </c>
      <c r="R77" s="204" t="s">
        <v>300</v>
      </c>
      <c r="S77" s="198" t="s">
        <v>317</v>
      </c>
      <c r="T77" s="181">
        <f t="shared" si="1"/>
        <v>1</v>
      </c>
      <c r="U77" s="166"/>
      <c r="V77" s="166" t="s">
        <v>362</v>
      </c>
      <c r="W77" s="172"/>
      <c r="X77" s="166"/>
      <c r="Y77" s="166"/>
    </row>
    <row r="78" spans="1:28" s="6" customFormat="1" ht="14.25" hidden="1" x14ac:dyDescent="0.2">
      <c r="A78" s="200" t="s">
        <v>374</v>
      </c>
      <c r="B78" s="165" t="s">
        <v>371</v>
      </c>
      <c r="C78" s="312">
        <f t="shared" si="10"/>
        <v>0</v>
      </c>
      <c r="D78" s="165" t="s">
        <v>22</v>
      </c>
      <c r="E78" s="319" t="str">
        <f>IF(OR(Control!$D$13="*None*",C78=$C$72,C78=$C$71,C78=C77,C78=0),"-",1)</f>
        <v>-</v>
      </c>
      <c r="F78" s="323" t="s">
        <v>22</v>
      </c>
      <c r="G78" s="327" t="s">
        <v>22</v>
      </c>
      <c r="H78" s="176" t="str">
        <f t="shared" si="9"/>
        <v>EDD_0</v>
      </c>
      <c r="I78" s="177">
        <v>0.6</v>
      </c>
      <c r="J78" s="178">
        <f t="shared" si="11"/>
        <v>12.909944487358057</v>
      </c>
      <c r="K78" s="181">
        <v>100</v>
      </c>
      <c r="L78" s="177">
        <v>0</v>
      </c>
      <c r="M78" s="181">
        <v>0</v>
      </c>
      <c r="N78" s="181">
        <v>0</v>
      </c>
      <c r="O78" s="180">
        <f>Ref!O66</f>
        <v>0</v>
      </c>
      <c r="P78" s="204" t="s">
        <v>300</v>
      </c>
      <c r="Q78" s="179">
        <v>1</v>
      </c>
      <c r="R78" s="204" t="s">
        <v>300</v>
      </c>
      <c r="S78" s="198" t="s">
        <v>317</v>
      </c>
      <c r="T78" s="181">
        <f t="shared" si="1"/>
        <v>1</v>
      </c>
      <c r="U78" s="166"/>
      <c r="V78" s="166" t="s">
        <v>362</v>
      </c>
      <c r="W78" s="172"/>
      <c r="X78" s="166"/>
      <c r="Y78" s="166"/>
    </row>
    <row r="79" spans="1:28" s="6" customFormat="1" ht="14.25" hidden="1" x14ac:dyDescent="0.2">
      <c r="A79" s="200" t="s">
        <v>375</v>
      </c>
      <c r="B79" s="165" t="s">
        <v>376</v>
      </c>
      <c r="C79" s="312"/>
      <c r="D79" s="165">
        <v>3</v>
      </c>
      <c r="E79" s="319" t="str">
        <f>IF(OR(Control!$D$27="N", Control!$D$27="W"),"-",1)</f>
        <v>-</v>
      </c>
      <c r="F79" s="323" t="str">
        <f>LEFT(Control!$D$23,1)</f>
        <v>A</v>
      </c>
      <c r="G79" s="327" t="s">
        <v>22</v>
      </c>
      <c r="H79" s="176" t="str">
        <f>B79&amp;"_"&amp;F79&amp;C79</f>
        <v>HWD_A</v>
      </c>
      <c r="I79" s="177">
        <v>0.6</v>
      </c>
      <c r="J79" s="178">
        <f>INDEX(Ref!$D$7:$G$40,MATCH('Weather Cases All'!D79,Ref!$C$7:$C$40,0),MATCH(LEFT(Control!$D$23,1)&amp;"MW",Ref!$D$6:$G$6,0))</f>
        <v>0.65800000000000003</v>
      </c>
      <c r="K79" s="178">
        <f>J79^2*0.6</f>
        <v>0.25977840000000002</v>
      </c>
      <c r="L79" s="177">
        <v>0</v>
      </c>
      <c r="M79" s="181">
        <v>0</v>
      </c>
      <c r="N79" s="181">
        <v>0</v>
      </c>
      <c r="O79" s="180">
        <f>Ref!L54</f>
        <v>5</v>
      </c>
      <c r="P79" s="204"/>
      <c r="Q79" s="179">
        <v>1</v>
      </c>
      <c r="R79" s="204"/>
      <c r="S79" s="197" t="s">
        <v>301</v>
      </c>
      <c r="T79" s="181">
        <f t="shared" si="1"/>
        <v>1</v>
      </c>
      <c r="U79" s="166"/>
      <c r="V79" s="166" t="s">
        <v>328</v>
      </c>
      <c r="W79" s="172"/>
      <c r="X79" s="166"/>
      <c r="Y79" s="166"/>
    </row>
    <row r="80" spans="1:28" s="6" customFormat="1" ht="14.25" x14ac:dyDescent="0.2">
      <c r="A80" s="200" t="s">
        <v>377</v>
      </c>
      <c r="B80" s="165" t="s">
        <v>376</v>
      </c>
      <c r="C80" s="312">
        <f>C75</f>
        <v>120</v>
      </c>
      <c r="D80" s="165">
        <v>3</v>
      </c>
      <c r="E80" s="319">
        <f>IF(Control!$D$10="*None*","-",1)</f>
        <v>1</v>
      </c>
      <c r="F80" s="323" t="str">
        <f>LEFT(Control!$D$23,1)</f>
        <v>A</v>
      </c>
      <c r="G80" s="327" t="s">
        <v>22</v>
      </c>
      <c r="H80" s="176" t="str">
        <f>B80&amp;"_"&amp;F80&amp;C80</f>
        <v>HWD_A120</v>
      </c>
      <c r="I80" s="177">
        <v>0.6</v>
      </c>
      <c r="J80" s="178">
        <f>INDEX(Ref!$D$7:$G$40,MATCH('Weather Cases All'!D80,Ref!$C$7:$C$40,0),MATCH(LEFT(Control!$D$23,1)&amp;"MW",Ref!$D$6:$G$6,0))</f>
        <v>0.65800000000000003</v>
      </c>
      <c r="K80" s="178">
        <f>J80^2*0.6</f>
        <v>0.25977840000000002</v>
      </c>
      <c r="L80" s="177">
        <v>0</v>
      </c>
      <c r="M80" s="181">
        <v>0</v>
      </c>
      <c r="N80" s="181">
        <v>0</v>
      </c>
      <c r="O80" s="181">
        <f>Ref!L67</f>
        <v>37</v>
      </c>
      <c r="P80" s="204" t="s">
        <v>300</v>
      </c>
      <c r="Q80" s="179">
        <v>1</v>
      </c>
      <c r="R80" s="204" t="s">
        <v>300</v>
      </c>
      <c r="S80" s="197" t="s">
        <v>301</v>
      </c>
      <c r="T80" s="181">
        <f t="shared" si="1"/>
        <v>1</v>
      </c>
      <c r="U80" s="203"/>
      <c r="V80" s="166" t="s">
        <v>378</v>
      </c>
      <c r="W80" s="172"/>
      <c r="X80" s="166"/>
      <c r="Y80" s="166"/>
    </row>
    <row r="81" spans="1:25" s="6" customFormat="1" ht="14.25" x14ac:dyDescent="0.2">
      <c r="A81" s="200" t="s">
        <v>379</v>
      </c>
      <c r="B81" s="165" t="s">
        <v>376</v>
      </c>
      <c r="C81" s="312">
        <f>C76</f>
        <v>90</v>
      </c>
      <c r="D81" s="165">
        <v>3</v>
      </c>
      <c r="E81" s="319" t="str">
        <f>IF(OR(Control!$D$11="*None*",C81=C80,C81=0),"-",1)</f>
        <v>-</v>
      </c>
      <c r="F81" s="323" t="str">
        <f>LEFT(Control!$D$23,1)</f>
        <v>A</v>
      </c>
      <c r="G81" s="327" t="s">
        <v>22</v>
      </c>
      <c r="H81" s="176" t="str">
        <f t="shared" ref="H81:H88" si="12">B81&amp;"_"&amp;F81&amp;C81</f>
        <v>HWD_A90</v>
      </c>
      <c r="I81" s="177">
        <v>0.6</v>
      </c>
      <c r="J81" s="178">
        <f>INDEX(Ref!$D$7:$G$40,MATCH('Weather Cases All'!D81,Ref!$C$7:$C$40,0),MATCH(LEFT(Control!$D$23,1)&amp;"MW",Ref!$D$6:$G$6,0))</f>
        <v>0.65800000000000003</v>
      </c>
      <c r="K81" s="178">
        <f t="shared" ref="K81:K83" si="13">J81^2*0.6</f>
        <v>0.25977840000000002</v>
      </c>
      <c r="L81" s="177">
        <v>0</v>
      </c>
      <c r="M81" s="181">
        <v>0</v>
      </c>
      <c r="N81" s="181">
        <v>0</v>
      </c>
      <c r="O81" s="181">
        <f>Ref!M67</f>
        <v>35</v>
      </c>
      <c r="P81" s="204" t="s">
        <v>300</v>
      </c>
      <c r="Q81" s="179">
        <v>1</v>
      </c>
      <c r="R81" s="204" t="s">
        <v>300</v>
      </c>
      <c r="S81" s="197" t="s">
        <v>301</v>
      </c>
      <c r="T81" s="181">
        <f t="shared" si="1"/>
        <v>1</v>
      </c>
      <c r="U81" s="203"/>
      <c r="V81" s="166" t="s">
        <v>378</v>
      </c>
      <c r="W81" s="172"/>
      <c r="X81" s="166"/>
      <c r="Y81" s="166"/>
    </row>
    <row r="82" spans="1:25" s="6" customFormat="1" ht="14.25" hidden="1" x14ac:dyDescent="0.2">
      <c r="A82" s="200" t="s">
        <v>380</v>
      </c>
      <c r="B82" s="165" t="s">
        <v>376</v>
      </c>
      <c r="C82" s="312">
        <f>C77</f>
        <v>120</v>
      </c>
      <c r="D82" s="165">
        <v>3</v>
      </c>
      <c r="E82" s="319" t="str">
        <f>IF(OR(Control!$D$12="*None*",C82=C81,C82=C80,C82=0),"-",1)</f>
        <v>-</v>
      </c>
      <c r="F82" s="323" t="str">
        <f>LEFT(Control!$D$23,1)</f>
        <v>A</v>
      </c>
      <c r="G82" s="327" t="s">
        <v>22</v>
      </c>
      <c r="H82" s="176" t="str">
        <f t="shared" si="12"/>
        <v>HWD_A120</v>
      </c>
      <c r="I82" s="177">
        <v>0.6</v>
      </c>
      <c r="J82" s="178">
        <f>INDEX(Ref!$D$7:$G$40,MATCH('Weather Cases All'!D82,Ref!$C$7:$C$40,0),MATCH(LEFT(Control!$D$23,1)&amp;"MW",Ref!$D$6:$G$6,0))</f>
        <v>0.65800000000000003</v>
      </c>
      <c r="K82" s="178">
        <f t="shared" si="13"/>
        <v>0.25977840000000002</v>
      </c>
      <c r="L82" s="177">
        <v>0</v>
      </c>
      <c r="M82" s="181">
        <v>0</v>
      </c>
      <c r="N82" s="181">
        <v>0</v>
      </c>
      <c r="O82" s="181">
        <f>Ref!N67</f>
        <v>37</v>
      </c>
      <c r="P82" s="204" t="s">
        <v>300</v>
      </c>
      <c r="Q82" s="179">
        <v>1</v>
      </c>
      <c r="R82" s="204" t="s">
        <v>300</v>
      </c>
      <c r="S82" s="197" t="s">
        <v>301</v>
      </c>
      <c r="T82" s="181">
        <f t="shared" si="1"/>
        <v>1</v>
      </c>
      <c r="U82" s="203"/>
      <c r="V82" s="166" t="s">
        <v>378</v>
      </c>
      <c r="W82" s="172"/>
      <c r="X82" s="166"/>
      <c r="Y82" s="166"/>
    </row>
    <row r="83" spans="1:25" s="6" customFormat="1" ht="14.25" hidden="1" x14ac:dyDescent="0.2">
      <c r="A83" s="200" t="s">
        <v>381</v>
      </c>
      <c r="B83" s="165" t="s">
        <v>376</v>
      </c>
      <c r="C83" s="312">
        <f>C78</f>
        <v>0</v>
      </c>
      <c r="D83" s="165">
        <v>3</v>
      </c>
      <c r="E83" s="319" t="str">
        <f>IF(OR(Control!$D$13="*None*",C83=C81,C83=C80,C83=C82,C83=0),"-",1)</f>
        <v>-</v>
      </c>
      <c r="F83" s="323" t="str">
        <f>LEFT(Control!$D$23,1)</f>
        <v>A</v>
      </c>
      <c r="G83" s="327" t="s">
        <v>22</v>
      </c>
      <c r="H83" s="176" t="str">
        <f t="shared" si="12"/>
        <v>HWD_A0</v>
      </c>
      <c r="I83" s="177">
        <v>0.6</v>
      </c>
      <c r="J83" s="178">
        <f>INDEX(Ref!$D$7:$G$40,MATCH('Weather Cases All'!D83,Ref!$C$7:$C$40,0),MATCH(LEFT(Control!$D$23,1)&amp;"MW",Ref!$D$6:$G$6,0))</f>
        <v>0.65800000000000003</v>
      </c>
      <c r="K83" s="178">
        <f t="shared" si="13"/>
        <v>0.25977840000000002</v>
      </c>
      <c r="L83" s="177">
        <v>0</v>
      </c>
      <c r="M83" s="181">
        <v>0</v>
      </c>
      <c r="N83" s="181">
        <v>0</v>
      </c>
      <c r="O83" s="181">
        <f>Ref!O67</f>
        <v>0</v>
      </c>
      <c r="P83" s="204" t="s">
        <v>300</v>
      </c>
      <c r="Q83" s="179">
        <v>1</v>
      </c>
      <c r="R83" s="204" t="s">
        <v>300</v>
      </c>
      <c r="S83" s="197" t="s">
        <v>301</v>
      </c>
      <c r="T83" s="181">
        <f t="shared" si="1"/>
        <v>1</v>
      </c>
      <c r="U83" s="203"/>
      <c r="V83" s="166" t="s">
        <v>378</v>
      </c>
      <c r="W83" s="172"/>
      <c r="X83" s="166"/>
      <c r="Y83" s="166"/>
    </row>
    <row r="84" spans="1:25" s="6" customFormat="1" ht="14.25" hidden="1" x14ac:dyDescent="0.2">
      <c r="A84" s="200" t="s">
        <v>382</v>
      </c>
      <c r="B84" s="165" t="s">
        <v>383</v>
      </c>
      <c r="C84" s="312"/>
      <c r="D84" s="165">
        <v>50</v>
      </c>
      <c r="E84" s="319" t="str">
        <f>IF(OR(Control!$D$27="N", Control!$D$27="W"),"-",1)</f>
        <v>-</v>
      </c>
      <c r="F84" s="323" t="str">
        <f>LEFT(Control!$D$23,1)</f>
        <v>A</v>
      </c>
      <c r="G84" s="327" t="s">
        <v>118</v>
      </c>
      <c r="H84" s="176" t="str">
        <f>IF(G84="-",B84,B84&amp;"_"&amp;LEFT(Control!$D$23,1)&amp;LEFT(Control!$D$22,LEN(Control!$D$22)-2))</f>
        <v>MWD_A8</v>
      </c>
      <c r="I84" s="177">
        <v>0.6</v>
      </c>
      <c r="J84" s="178">
        <f>INDEX(Ref!$D$7:$G$40,MATCH('Weather Cases All'!D84,Ref!$C$7:$C$40,0),MATCH(LEFT(Control!$D$23,1)&amp;"MW",Ref!$D$6:$G$6,0))</f>
        <v>0.85399999999999998</v>
      </c>
      <c r="K84" s="178">
        <f>J84^2*0.6</f>
        <v>0.43758959999999997</v>
      </c>
      <c r="L84" s="177">
        <v>0</v>
      </c>
      <c r="M84" s="181">
        <v>0</v>
      </c>
      <c r="N84" s="181">
        <v>0</v>
      </c>
      <c r="O84" s="181">
        <f>Ref!L55</f>
        <v>5</v>
      </c>
      <c r="P84" s="204" t="s">
        <v>300</v>
      </c>
      <c r="Q84" s="179">
        <v>1</v>
      </c>
      <c r="R84" s="204" t="s">
        <v>300</v>
      </c>
      <c r="S84" s="197" t="s">
        <v>301</v>
      </c>
      <c r="T84" s="181">
        <f t="shared" si="1"/>
        <v>1</v>
      </c>
      <c r="U84" s="203"/>
      <c r="V84" s="166" t="s">
        <v>302</v>
      </c>
      <c r="W84" s="172"/>
      <c r="X84" s="166"/>
      <c r="Y84" s="166"/>
    </row>
    <row r="85" spans="1:25" s="6" customFormat="1" ht="14.25" x14ac:dyDescent="0.2">
      <c r="A85" s="200" t="s">
        <v>384</v>
      </c>
      <c r="B85" s="165" t="s">
        <v>383</v>
      </c>
      <c r="C85" s="312">
        <f>C80</f>
        <v>120</v>
      </c>
      <c r="D85" s="165">
        <v>50</v>
      </c>
      <c r="E85" s="319">
        <f>IF(Control!$D$10="*None*","-",1)</f>
        <v>1</v>
      </c>
      <c r="F85" s="323" t="str">
        <f>LEFT(Control!$D$23,1)</f>
        <v>A</v>
      </c>
      <c r="G85" s="327" t="s">
        <v>22</v>
      </c>
      <c r="H85" s="176" t="str">
        <f t="shared" si="12"/>
        <v>MWD_A120</v>
      </c>
      <c r="I85" s="177">
        <v>0.6</v>
      </c>
      <c r="J85" s="178">
        <f>INDEX(Ref!$D$7:$G$40,MATCH('Weather Cases All'!D85,Ref!$C$7:$C$40,0),MATCH(LEFT(Control!$D$23,1)&amp;"MW",Ref!$D$6:$G$6,0))</f>
        <v>0.85399999999999998</v>
      </c>
      <c r="K85" s="178">
        <f>J85^2*0.6</f>
        <v>0.43758959999999997</v>
      </c>
      <c r="L85" s="177">
        <v>0</v>
      </c>
      <c r="M85" s="181">
        <v>0</v>
      </c>
      <c r="N85" s="181">
        <v>0</v>
      </c>
      <c r="O85" s="181">
        <f>Ref!L68</f>
        <v>35</v>
      </c>
      <c r="P85" s="204" t="s">
        <v>300</v>
      </c>
      <c r="Q85" s="179">
        <v>1</v>
      </c>
      <c r="R85" s="204" t="s">
        <v>300</v>
      </c>
      <c r="S85" s="197" t="s">
        <v>301</v>
      </c>
      <c r="T85" s="181">
        <f t="shared" si="1"/>
        <v>1</v>
      </c>
      <c r="U85" s="203"/>
      <c r="V85" s="166" t="s">
        <v>385</v>
      </c>
      <c r="W85" s="172"/>
      <c r="X85" s="166"/>
      <c r="Y85" s="166"/>
    </row>
    <row r="86" spans="1:25" s="6" customFormat="1" ht="14.25" x14ac:dyDescent="0.2">
      <c r="A86" s="200" t="s">
        <v>386</v>
      </c>
      <c r="B86" s="165" t="s">
        <v>383</v>
      </c>
      <c r="C86" s="312">
        <f>C81</f>
        <v>90</v>
      </c>
      <c r="D86" s="165">
        <v>50</v>
      </c>
      <c r="E86" s="319" t="str">
        <f>IF(OR(Control!$D$11="*None*",C86=C85,C86=0),"-",1)</f>
        <v>-</v>
      </c>
      <c r="F86" s="323" t="str">
        <f>LEFT(Control!$D$23,1)</f>
        <v>A</v>
      </c>
      <c r="G86" s="327" t="s">
        <v>22</v>
      </c>
      <c r="H86" s="176" t="str">
        <f t="shared" si="12"/>
        <v>MWD_A90</v>
      </c>
      <c r="I86" s="177">
        <v>0.6</v>
      </c>
      <c r="J86" s="178">
        <f>INDEX(Ref!$D$7:$G$40,MATCH('Weather Cases All'!D86,Ref!$C$7:$C$40,0),MATCH(LEFT(Control!$D$23,1)&amp;"MW",Ref!$D$6:$G$6,0))</f>
        <v>0.85399999999999998</v>
      </c>
      <c r="K86" s="178">
        <f t="shared" ref="K86:K88" si="14">J86^2*0.6</f>
        <v>0.43758959999999997</v>
      </c>
      <c r="L86" s="177">
        <v>0</v>
      </c>
      <c r="M86" s="181">
        <v>0</v>
      </c>
      <c r="N86" s="181">
        <v>0</v>
      </c>
      <c r="O86" s="181">
        <f>Ref!M68</f>
        <v>34</v>
      </c>
      <c r="P86" s="204" t="s">
        <v>300</v>
      </c>
      <c r="Q86" s="179">
        <v>1</v>
      </c>
      <c r="R86" s="204" t="s">
        <v>300</v>
      </c>
      <c r="S86" s="197" t="s">
        <v>301</v>
      </c>
      <c r="T86" s="181">
        <f t="shared" si="1"/>
        <v>1</v>
      </c>
      <c r="U86" s="203"/>
      <c r="V86" s="166" t="s">
        <v>385</v>
      </c>
      <c r="W86" s="172"/>
      <c r="X86" s="166"/>
      <c r="Y86" s="166"/>
    </row>
    <row r="87" spans="1:25" s="6" customFormat="1" ht="14.25" hidden="1" x14ac:dyDescent="0.2">
      <c r="A87" s="200" t="s">
        <v>387</v>
      </c>
      <c r="B87" s="165" t="s">
        <v>383</v>
      </c>
      <c r="C87" s="312">
        <f>C82</f>
        <v>120</v>
      </c>
      <c r="D87" s="165">
        <v>50</v>
      </c>
      <c r="E87" s="319" t="str">
        <f>IF(OR(Control!$D$12="*None*",C87=C86,C87=C85,C87=0),"-",1)</f>
        <v>-</v>
      </c>
      <c r="F87" s="323" t="str">
        <f>LEFT(Control!$D$23,1)</f>
        <v>A</v>
      </c>
      <c r="G87" s="327" t="s">
        <v>22</v>
      </c>
      <c r="H87" s="176" t="str">
        <f t="shared" si="12"/>
        <v>MWD_A120</v>
      </c>
      <c r="I87" s="177">
        <v>0.6</v>
      </c>
      <c r="J87" s="178">
        <f>INDEX(Ref!$D$7:$G$40,MATCH('Weather Cases All'!D87,Ref!$C$7:$C$40,0),MATCH(LEFT(Control!$D$23,1)&amp;"MW",Ref!$D$6:$G$6,0))</f>
        <v>0.85399999999999998</v>
      </c>
      <c r="K87" s="178">
        <f t="shared" si="14"/>
        <v>0.43758959999999997</v>
      </c>
      <c r="L87" s="177">
        <v>0</v>
      </c>
      <c r="M87" s="181">
        <v>0</v>
      </c>
      <c r="N87" s="181">
        <v>0</v>
      </c>
      <c r="O87" s="181">
        <f>Ref!N68</f>
        <v>35</v>
      </c>
      <c r="P87" s="204" t="s">
        <v>300</v>
      </c>
      <c r="Q87" s="179">
        <v>1</v>
      </c>
      <c r="R87" s="204" t="s">
        <v>300</v>
      </c>
      <c r="S87" s="197" t="s">
        <v>301</v>
      </c>
      <c r="T87" s="181">
        <f t="shared" ref="T87:T117" si="15">IF(L87&gt;0,1.2,1)</f>
        <v>1</v>
      </c>
      <c r="U87" s="203"/>
      <c r="V87" s="166" t="s">
        <v>385</v>
      </c>
      <c r="W87" s="172"/>
      <c r="X87" s="166"/>
      <c r="Y87" s="166"/>
    </row>
    <row r="88" spans="1:25" s="6" customFormat="1" ht="14.25" hidden="1" x14ac:dyDescent="0.2">
      <c r="A88" s="200" t="s">
        <v>388</v>
      </c>
      <c r="B88" s="165" t="s">
        <v>383</v>
      </c>
      <c r="C88" s="312">
        <f>C83</f>
        <v>0</v>
      </c>
      <c r="D88" s="165">
        <v>50</v>
      </c>
      <c r="E88" s="319" t="str">
        <f>IF(OR(Control!$D$13="*None*",C88=C86,C88=C85,C88=C87,C88=0),"-",1)</f>
        <v>-</v>
      </c>
      <c r="F88" s="323" t="str">
        <f>LEFT(Control!$D$23,1)</f>
        <v>A</v>
      </c>
      <c r="G88" s="327" t="s">
        <v>22</v>
      </c>
      <c r="H88" s="176" t="str">
        <f t="shared" si="12"/>
        <v>MWD_A0</v>
      </c>
      <c r="I88" s="177">
        <v>0.6</v>
      </c>
      <c r="J88" s="178">
        <f>INDEX(Ref!$D$7:$G$40,MATCH('Weather Cases All'!D88,Ref!$C$7:$C$40,0),MATCH(LEFT(Control!$D$23,1)&amp;"MW",Ref!$D$6:$G$6,0))</f>
        <v>0.85399999999999998</v>
      </c>
      <c r="K88" s="178">
        <f t="shared" si="14"/>
        <v>0.43758959999999997</v>
      </c>
      <c r="L88" s="177">
        <v>0</v>
      </c>
      <c r="M88" s="181">
        <v>0</v>
      </c>
      <c r="N88" s="181">
        <v>0</v>
      </c>
      <c r="O88" s="181">
        <f>Ref!O68</f>
        <v>0</v>
      </c>
      <c r="P88" s="204" t="s">
        <v>300</v>
      </c>
      <c r="Q88" s="179">
        <v>1</v>
      </c>
      <c r="R88" s="204" t="s">
        <v>300</v>
      </c>
      <c r="S88" s="197" t="s">
        <v>301</v>
      </c>
      <c r="T88" s="181">
        <f t="shared" si="15"/>
        <v>1</v>
      </c>
      <c r="U88" s="203"/>
      <c r="V88" s="166" t="s">
        <v>385</v>
      </c>
      <c r="W88" s="172"/>
      <c r="X88" s="166"/>
      <c r="Y88" s="166"/>
    </row>
    <row r="89" spans="1:25" s="6" customFormat="1" ht="14.25" x14ac:dyDescent="0.2">
      <c r="A89" s="200" t="s">
        <v>389</v>
      </c>
      <c r="B89" s="165" t="s">
        <v>390</v>
      </c>
      <c r="C89" s="165" t="s">
        <v>22</v>
      </c>
      <c r="D89" s="165" t="s">
        <v>22</v>
      </c>
      <c r="E89" s="319">
        <f>IF(OR(Control!$D$5="Y",SUM(L89)=0),"-",1)</f>
        <v>1</v>
      </c>
      <c r="F89" s="323" t="s">
        <v>22</v>
      </c>
      <c r="G89" s="327" t="s">
        <v>118</v>
      </c>
      <c r="H89" s="176" t="str">
        <f>IF(G89="",B89,B89&amp;"_"&amp;LEFT(Control!$D$22,LEN(Control!$D$22)-2))</f>
        <v>SDS_8</v>
      </c>
      <c r="I89" s="177">
        <v>0.6</v>
      </c>
      <c r="J89" s="181">
        <v>0</v>
      </c>
      <c r="K89" s="181">
        <v>0</v>
      </c>
      <c r="L89" s="177">
        <f>Ref!$N$94</f>
        <v>3</v>
      </c>
      <c r="M89" s="181">
        <f>Ref!$O$94</f>
        <v>3900</v>
      </c>
      <c r="N89" s="181">
        <v>0</v>
      </c>
      <c r="O89" s="181">
        <f>Ref!$L$58</f>
        <v>-5</v>
      </c>
      <c r="P89" s="204" t="s">
        <v>300</v>
      </c>
      <c r="Q89" s="179">
        <v>1</v>
      </c>
      <c r="R89" s="204" t="s">
        <v>300</v>
      </c>
      <c r="S89" s="197" t="s">
        <v>317</v>
      </c>
      <c r="T89" s="181">
        <f t="shared" si="15"/>
        <v>1.2</v>
      </c>
      <c r="U89" s="166"/>
      <c r="V89" s="166" t="s">
        <v>318</v>
      </c>
      <c r="W89" s="172"/>
      <c r="X89" s="166"/>
      <c r="Y89" s="166"/>
    </row>
    <row r="90" spans="1:25" s="6" customFormat="1" hidden="1" x14ac:dyDescent="0.2">
      <c r="A90" s="566" t="s">
        <v>389</v>
      </c>
      <c r="B90" s="567" t="s">
        <v>390</v>
      </c>
      <c r="C90" s="567" t="s">
        <v>22</v>
      </c>
      <c r="D90" s="567" t="s">
        <v>22</v>
      </c>
      <c r="E90" s="566" t="str">
        <f>IF(Ref!$L$93="S",IF(AND('Staking Table'!$I$5&gt;100,'Staking Table'!$I$6&lt;=100),1,"-"),"-")</f>
        <v>-</v>
      </c>
      <c r="F90" s="568" t="s">
        <v>22</v>
      </c>
      <c r="G90" s="569" t="s">
        <v>118</v>
      </c>
      <c r="H90" s="570" t="str">
        <f>IF(G90="",B90,B90&amp;"_"&amp;1)</f>
        <v>SDS_1</v>
      </c>
      <c r="I90" s="571">
        <v>0.6</v>
      </c>
      <c r="J90" s="567">
        <v>0</v>
      </c>
      <c r="K90" s="567">
        <v>0</v>
      </c>
      <c r="L90" s="577">
        <f>HLOOKUP(Ref!$L$93,Ref!$N$79:$P$88,2,FALSE)/10</f>
        <v>1</v>
      </c>
      <c r="M90" s="567">
        <f>Ref!$O$94</f>
        <v>3900</v>
      </c>
      <c r="N90" s="567">
        <v>0</v>
      </c>
      <c r="O90" s="567">
        <f>Ref!$L$58</f>
        <v>-5</v>
      </c>
      <c r="P90" s="572"/>
      <c r="Q90" s="573">
        <v>1</v>
      </c>
      <c r="R90" s="572"/>
      <c r="S90" s="578" t="s">
        <v>317</v>
      </c>
      <c r="T90" s="567">
        <f t="shared" si="15"/>
        <v>1.2</v>
      </c>
      <c r="U90" s="166"/>
      <c r="V90" s="166"/>
      <c r="W90" s="172"/>
      <c r="X90" s="166"/>
      <c r="Y90" s="166"/>
    </row>
    <row r="91" spans="1:25" s="6" customFormat="1" ht="14.25" x14ac:dyDescent="0.2">
      <c r="A91" s="200" t="s">
        <v>391</v>
      </c>
      <c r="B91" s="165" t="s">
        <v>392</v>
      </c>
      <c r="C91" s="165" t="s">
        <v>22</v>
      </c>
      <c r="D91" s="165" t="s">
        <v>22</v>
      </c>
      <c r="E91" s="319">
        <f>E89</f>
        <v>1</v>
      </c>
      <c r="F91" s="323" t="s">
        <v>22</v>
      </c>
      <c r="G91" s="327" t="s">
        <v>118</v>
      </c>
      <c r="H91" s="176" t="str">
        <f>IF(G91="",B91,B91&amp;"_"&amp;LEFT(Control!$D$22,LEN(Control!$D$22)-2))</f>
        <v>SDD_8</v>
      </c>
      <c r="I91" s="177">
        <v>0.6</v>
      </c>
      <c r="J91" s="178">
        <f>(K91/0.6)^0.5</f>
        <v>4.0824829046386304</v>
      </c>
      <c r="K91" s="181">
        <f>$K$40*0.5</f>
        <v>10</v>
      </c>
      <c r="L91" s="177">
        <f>Ref!$N$94</f>
        <v>3</v>
      </c>
      <c r="M91" s="181">
        <f>Ref!$O$94</f>
        <v>3900</v>
      </c>
      <c r="N91" s="181">
        <v>0</v>
      </c>
      <c r="O91" s="181">
        <f>Ref!$L$58</f>
        <v>-5</v>
      </c>
      <c r="P91" s="204" t="s">
        <v>300</v>
      </c>
      <c r="Q91" s="179">
        <v>1</v>
      </c>
      <c r="R91" s="204" t="s">
        <v>300</v>
      </c>
      <c r="S91" s="197" t="s">
        <v>317</v>
      </c>
      <c r="T91" s="181">
        <f t="shared" si="15"/>
        <v>1.2</v>
      </c>
      <c r="U91" s="166"/>
      <c r="V91" s="166" t="s">
        <v>318</v>
      </c>
      <c r="W91" s="172"/>
      <c r="X91" s="166"/>
      <c r="Y91" s="166"/>
    </row>
    <row r="92" spans="1:25" s="6" customFormat="1" ht="14.25" hidden="1" x14ac:dyDescent="0.2">
      <c r="A92" s="566" t="s">
        <v>391</v>
      </c>
      <c r="B92" s="567" t="s">
        <v>392</v>
      </c>
      <c r="C92" s="567" t="s">
        <v>22</v>
      </c>
      <c r="D92" s="567" t="s">
        <v>22</v>
      </c>
      <c r="E92" s="566" t="str">
        <f>IF(Ref!$L$93="S",IF(AND('Staking Table'!$I$5&gt;100,'Staking Table'!$I$6&lt;=100),1,"-"),"-")</f>
        <v>-</v>
      </c>
      <c r="F92" s="568" t="s">
        <v>22</v>
      </c>
      <c r="G92" s="569" t="s">
        <v>118</v>
      </c>
      <c r="H92" s="570" t="str">
        <f>IF(G92="",B92,B92&amp;"_"&amp;1)</f>
        <v>SDD_1</v>
      </c>
      <c r="I92" s="571">
        <v>0.6</v>
      </c>
      <c r="J92" s="575">
        <f t="shared" ref="J92" si="16">(K92/0.6)^0.5</f>
        <v>4.0824829046386304</v>
      </c>
      <c r="K92" s="567">
        <f t="shared" ref="K92" si="17">$K$40*0.5</f>
        <v>10</v>
      </c>
      <c r="L92" s="577">
        <f>HLOOKUP(Ref!$L$93,Ref!$N$79:$P$88,2,FALSE)/10</f>
        <v>1</v>
      </c>
      <c r="M92" s="567">
        <f>Ref!$O$94</f>
        <v>3900</v>
      </c>
      <c r="N92" s="567">
        <v>0</v>
      </c>
      <c r="O92" s="567">
        <f>Ref!$L$58</f>
        <v>-5</v>
      </c>
      <c r="P92" s="572"/>
      <c r="Q92" s="573">
        <v>1</v>
      </c>
      <c r="R92" s="572"/>
      <c r="S92" s="578" t="s">
        <v>317</v>
      </c>
      <c r="T92" s="567">
        <f t="shared" si="15"/>
        <v>1.2</v>
      </c>
      <c r="U92" s="166"/>
      <c r="V92" s="166"/>
      <c r="W92" s="172"/>
      <c r="X92" s="166"/>
      <c r="Y92" s="166"/>
    </row>
    <row r="93" spans="1:25" s="6" customFormat="1" ht="14.25" x14ac:dyDescent="0.2">
      <c r="A93" s="200" t="s">
        <v>393</v>
      </c>
      <c r="B93" s="165" t="s">
        <v>394</v>
      </c>
      <c r="C93" s="165" t="s">
        <v>22</v>
      </c>
      <c r="D93" s="165" t="s">
        <v>22</v>
      </c>
      <c r="E93" s="319">
        <f>E91</f>
        <v>1</v>
      </c>
      <c r="F93" s="323" t="s">
        <v>22</v>
      </c>
      <c r="G93" s="327" t="s">
        <v>22</v>
      </c>
      <c r="H93" s="176" t="str">
        <f>B93</f>
        <v>SDO</v>
      </c>
      <c r="I93" s="177">
        <v>0.6</v>
      </c>
      <c r="J93" s="181">
        <v>0</v>
      </c>
      <c r="K93" s="181">
        <v>0</v>
      </c>
      <c r="L93" s="177">
        <v>0</v>
      </c>
      <c r="M93" s="181">
        <v>0</v>
      </c>
      <c r="N93" s="181">
        <v>0</v>
      </c>
      <c r="O93" s="181">
        <f>Ref!$L$58</f>
        <v>-5</v>
      </c>
      <c r="P93" s="204" t="s">
        <v>300</v>
      </c>
      <c r="Q93" s="179">
        <v>1</v>
      </c>
      <c r="R93" s="204" t="s">
        <v>300</v>
      </c>
      <c r="S93" s="197" t="s">
        <v>317</v>
      </c>
      <c r="T93" s="181">
        <f t="shared" si="15"/>
        <v>1</v>
      </c>
      <c r="U93" s="166"/>
      <c r="V93" s="166" t="s">
        <v>318</v>
      </c>
      <c r="W93" s="172"/>
      <c r="X93" s="166"/>
      <c r="Y93" s="166"/>
    </row>
    <row r="94" spans="1:25" s="6" customFormat="1" ht="14.25" hidden="1" x14ac:dyDescent="0.2">
      <c r="A94" s="200" t="s">
        <v>395</v>
      </c>
      <c r="B94" s="165" t="s">
        <v>396</v>
      </c>
      <c r="C94" s="165" t="s">
        <v>22</v>
      </c>
      <c r="D94" s="165" t="s">
        <v>22</v>
      </c>
      <c r="E94" s="319">
        <f>IF(OR(Control!$D$5="Y",SUM(L94)=0),"-",1)</f>
        <v>1</v>
      </c>
      <c r="F94" s="323" t="s">
        <v>22</v>
      </c>
      <c r="G94" s="327" t="s">
        <v>118</v>
      </c>
      <c r="H94" s="176" t="str">
        <f>IF(G94="",B94,B94&amp;"_"&amp;LEFT(Control!$D$22,LEN(Control!$D$22)-2))</f>
        <v>TIS_8</v>
      </c>
      <c r="I94" s="177">
        <v>0.6</v>
      </c>
      <c r="J94" s="181">
        <v>0</v>
      </c>
      <c r="K94" s="181">
        <v>0</v>
      </c>
      <c r="L94" s="177">
        <f>Ref!$Q$94</f>
        <v>0.8</v>
      </c>
      <c r="M94" s="181">
        <f>Ref!R94</f>
        <v>6850</v>
      </c>
      <c r="N94" s="181">
        <v>0</v>
      </c>
      <c r="O94" s="181">
        <f>Ref!$L$57</f>
        <v>-14</v>
      </c>
      <c r="P94" s="204" t="s">
        <v>300</v>
      </c>
      <c r="Q94" s="179">
        <v>1</v>
      </c>
      <c r="R94" s="204" t="s">
        <v>300</v>
      </c>
      <c r="S94" s="197" t="s">
        <v>317</v>
      </c>
      <c r="T94" s="181">
        <f t="shared" si="15"/>
        <v>1.2</v>
      </c>
      <c r="U94" s="166"/>
      <c r="V94" s="166" t="s">
        <v>321</v>
      </c>
      <c r="W94" s="172"/>
      <c r="X94" s="166"/>
      <c r="Y94" s="166"/>
    </row>
    <row r="95" spans="1:25" s="6" customFormat="1" hidden="1" x14ac:dyDescent="0.2">
      <c r="A95" s="566" t="s">
        <v>395</v>
      </c>
      <c r="B95" s="567" t="s">
        <v>396</v>
      </c>
      <c r="C95" s="567" t="s">
        <v>22</v>
      </c>
      <c r="D95" s="567" t="s">
        <v>22</v>
      </c>
      <c r="E95" s="566" t="str">
        <f>IF(AND('Staking Table'!$I$5&gt;1200,'Staking Table'!$I$6&lt;=1200),1,"-")</f>
        <v>-</v>
      </c>
      <c r="F95" s="568" t="s">
        <v>22</v>
      </c>
      <c r="G95" s="569" t="s">
        <v>118</v>
      </c>
      <c r="H95" s="570" t="str">
        <f>IF(G95="",B95,B95&amp;"_"&amp;12)</f>
        <v>TIS_12</v>
      </c>
      <c r="I95" s="571">
        <v>0.6</v>
      </c>
      <c r="J95" s="567">
        <v>0</v>
      </c>
      <c r="K95" s="567">
        <v>0</v>
      </c>
      <c r="L95" s="577">
        <f>HLOOKUP(Ref!$L$93,Ref!$Q$79:$S$88,8,FALSE)/10</f>
        <v>1</v>
      </c>
      <c r="M95" s="573">
        <f>Ref!$R$94</f>
        <v>6850</v>
      </c>
      <c r="N95" s="567">
        <v>0</v>
      </c>
      <c r="O95" s="567">
        <f>ROUND(INDEX(Ref!$AA$96:$AB$98,MATCH(Ref!$L$93,Ice_Zones,0),MATCH(Ref!$L$96,Ref!$AA$95:$AB$95,0))-0.0085*1200,0)</f>
        <v>-17</v>
      </c>
      <c r="P95" s="572"/>
      <c r="Q95" s="573">
        <v>1</v>
      </c>
      <c r="R95" s="572"/>
      <c r="S95" s="578" t="s">
        <v>317</v>
      </c>
      <c r="T95" s="567">
        <f t="shared" si="15"/>
        <v>1.2</v>
      </c>
      <c r="U95" s="166"/>
      <c r="V95" s="166"/>
      <c r="W95" s="172"/>
      <c r="X95" s="166"/>
      <c r="Y95" s="166"/>
    </row>
    <row r="96" spans="1:25" s="6" customFormat="1" x14ac:dyDescent="0.2">
      <c r="A96" s="566" t="s">
        <v>395</v>
      </c>
      <c r="B96" s="567" t="s">
        <v>396</v>
      </c>
      <c r="C96" s="567" t="s">
        <v>22</v>
      </c>
      <c r="D96" s="567" t="s">
        <v>22</v>
      </c>
      <c r="E96" s="566" t="str">
        <f>IF(AND('Staking Table'!$I$5&gt;900,'Staking Table'!$I$6&lt;=900),1,"-")</f>
        <v>-</v>
      </c>
      <c r="F96" s="568" t="s">
        <v>22</v>
      </c>
      <c r="G96" s="569" t="s">
        <v>118</v>
      </c>
      <c r="H96" s="570" t="str">
        <f>IF(G96="",B96,B96&amp;"_"&amp;9)</f>
        <v>TIS_9</v>
      </c>
      <c r="I96" s="571">
        <v>0.6</v>
      </c>
      <c r="J96" s="567">
        <v>0</v>
      </c>
      <c r="K96" s="567">
        <v>0</v>
      </c>
      <c r="L96" s="577">
        <f>HLOOKUP(Ref!$L$93,Ref!$Q$79:$S$88,7,FALSE)/10</f>
        <v>0.8</v>
      </c>
      <c r="M96" s="573">
        <f>Ref!$R$94</f>
        <v>6850</v>
      </c>
      <c r="N96" s="567">
        <v>0</v>
      </c>
      <c r="O96" s="567">
        <f>ROUND(INDEX(Ref!$AA$96:$AB$98,MATCH(Ref!$L$93,Ice_Zones,0),MATCH(Ref!$L$96,Ref!$AA$95:$AB$95,0))-0.0085*900,0)</f>
        <v>-15</v>
      </c>
      <c r="P96" s="572"/>
      <c r="Q96" s="573">
        <v>1</v>
      </c>
      <c r="R96" s="572"/>
      <c r="S96" s="578" t="s">
        <v>317</v>
      </c>
      <c r="T96" s="567">
        <f t="shared" si="15"/>
        <v>1.2</v>
      </c>
      <c r="U96" s="166"/>
      <c r="V96" s="166"/>
      <c r="W96" s="172"/>
      <c r="X96" s="166"/>
      <c r="Y96" s="166"/>
    </row>
    <row r="97" spans="1:25" s="6" customFormat="1" hidden="1" x14ac:dyDescent="0.2">
      <c r="A97" s="566" t="s">
        <v>395</v>
      </c>
      <c r="B97" s="567" t="s">
        <v>396</v>
      </c>
      <c r="C97" s="567" t="s">
        <v>22</v>
      </c>
      <c r="D97" s="567" t="s">
        <v>22</v>
      </c>
      <c r="E97" s="566" t="str">
        <f>IF(Ref!$L$93="S",IF(AND('Staking Table'!$I$5&gt;700,'Staking Table'!$I$6&lt;=700),1,"-"),"-")</f>
        <v>-</v>
      </c>
      <c r="F97" s="568" t="s">
        <v>22</v>
      </c>
      <c r="G97" s="569" t="s">
        <v>118</v>
      </c>
      <c r="H97" s="570" t="str">
        <f>IF(G97="",B97,B97&amp;"_"&amp;7)</f>
        <v>TIS_7</v>
      </c>
      <c r="I97" s="571">
        <v>0.6</v>
      </c>
      <c r="J97" s="567">
        <v>0</v>
      </c>
      <c r="K97" s="567">
        <v>0</v>
      </c>
      <c r="L97" s="577">
        <f>HLOOKUP(Ref!$L$93,Ref!$Q$79:$S$88,6,FALSE)/10</f>
        <v>0.5</v>
      </c>
      <c r="M97" s="573">
        <f>Ref!$R$94</f>
        <v>6850</v>
      </c>
      <c r="N97" s="567">
        <v>0</v>
      </c>
      <c r="O97" s="567">
        <f>ROUND(INDEX(Ref!$AA$96:$AB$98,MATCH(Ref!$L$93,Ice_Zones,0),MATCH(Ref!$L$96,Ref!$AA$95:$AB$95,0))-0.0085*700,0)</f>
        <v>-13</v>
      </c>
      <c r="P97" s="572"/>
      <c r="Q97" s="573">
        <v>1</v>
      </c>
      <c r="R97" s="572"/>
      <c r="S97" s="578" t="s">
        <v>317</v>
      </c>
      <c r="T97" s="567">
        <f t="shared" si="15"/>
        <v>1.2</v>
      </c>
      <c r="U97" s="166"/>
      <c r="V97" s="166"/>
      <c r="W97" s="172"/>
      <c r="X97" s="166"/>
      <c r="Y97" s="166"/>
    </row>
    <row r="98" spans="1:25" s="6" customFormat="1" ht="14.25" hidden="1" x14ac:dyDescent="0.2">
      <c r="A98" s="200" t="s">
        <v>397</v>
      </c>
      <c r="B98" s="165" t="s">
        <v>398</v>
      </c>
      <c r="C98" s="165" t="s">
        <v>22</v>
      </c>
      <c r="D98" s="165" t="s">
        <v>22</v>
      </c>
      <c r="E98" s="319">
        <f>E94</f>
        <v>1</v>
      </c>
      <c r="F98" s="323" t="str">
        <f>LEFT(Control!$D$23,1)</f>
        <v>A</v>
      </c>
      <c r="G98" s="327" t="s">
        <v>118</v>
      </c>
      <c r="H98" s="176" t="str">
        <f>IF(G98="",B98,B98&amp;"_"&amp;LEFT(Control!$D$23,1)&amp;LEFT(Control!$D$22,LEN(Control!$D$22)-2))</f>
        <v>TID_A8</v>
      </c>
      <c r="I98" s="177">
        <v>0.6</v>
      </c>
      <c r="J98" s="178">
        <f>(K98/0.6)^0.5</f>
        <v>0.3995153313703993</v>
      </c>
      <c r="K98" s="178">
        <f>$K$42*0.5</f>
        <v>9.5767499999999978E-2</v>
      </c>
      <c r="L98" s="177">
        <f>L42</f>
        <v>0.8</v>
      </c>
      <c r="M98" s="181">
        <f>M42</f>
        <v>6850</v>
      </c>
      <c r="N98" s="181">
        <v>0</v>
      </c>
      <c r="O98" s="181">
        <f>Ref!$L$57</f>
        <v>-14</v>
      </c>
      <c r="P98" s="204" t="s">
        <v>300</v>
      </c>
      <c r="Q98" s="179">
        <v>1</v>
      </c>
      <c r="R98" s="204" t="s">
        <v>300</v>
      </c>
      <c r="S98" s="197" t="s">
        <v>301</v>
      </c>
      <c r="T98" s="181">
        <f t="shared" si="15"/>
        <v>1.2</v>
      </c>
      <c r="U98" s="203"/>
      <c r="V98" s="166" t="s">
        <v>321</v>
      </c>
      <c r="W98" s="172"/>
      <c r="X98" s="166"/>
      <c r="Y98" s="166"/>
    </row>
    <row r="99" spans="1:25" s="6" customFormat="1" hidden="1" x14ac:dyDescent="0.2">
      <c r="A99" s="566" t="s">
        <v>397</v>
      </c>
      <c r="B99" s="567" t="s">
        <v>398</v>
      </c>
      <c r="C99" s="567" t="s">
        <v>22</v>
      </c>
      <c r="D99" s="567" t="s">
        <v>22</v>
      </c>
      <c r="E99" s="566" t="str">
        <f>IF(AND('Staking Table'!$I$5&gt;1200,'Staking Table'!$I$6&lt;=1200),1,"-")</f>
        <v>-</v>
      </c>
      <c r="F99" s="568" t="str">
        <f>LEFT(Control!$D$23,1)</f>
        <v>A</v>
      </c>
      <c r="G99" s="569" t="s">
        <v>118</v>
      </c>
      <c r="H99" s="570" t="str">
        <f>IF(G99="",B99,B99&amp;"_"&amp;LEFT(Control!$D$23,1)&amp;12)</f>
        <v>TID_A12</v>
      </c>
      <c r="I99" s="571">
        <v>0.6</v>
      </c>
      <c r="J99" s="575">
        <f t="shared" ref="J99:J101" si="18">(K99/0.6)^0.5</f>
        <v>0.3995153313703993</v>
      </c>
      <c r="K99" s="575">
        <f t="shared" ref="K99:K101" si="19">$K$42*0.5</f>
        <v>9.5767499999999978E-2</v>
      </c>
      <c r="L99" s="577">
        <f>HLOOKUP(Ref!$L$93,Ref!$Q$79:$S$88,8,FALSE)/10</f>
        <v>1</v>
      </c>
      <c r="M99" s="573">
        <f>Ref!$R$94</f>
        <v>6850</v>
      </c>
      <c r="N99" s="567">
        <v>0</v>
      </c>
      <c r="O99" s="567">
        <f>ROUND(INDEX(Ref!$AA$96:$AB$98,MATCH(Ref!$L$93,Ice_Zones,0),MATCH(Ref!$L$96,Ref!$AA$95:$AB$95,0))-0.0085*1200,0)</f>
        <v>-17</v>
      </c>
      <c r="P99" s="572"/>
      <c r="Q99" s="573">
        <v>1</v>
      </c>
      <c r="R99" s="572"/>
      <c r="S99" s="578" t="s">
        <v>301</v>
      </c>
      <c r="T99" s="567">
        <f t="shared" ref="T99:T101" si="20">IF(L99&gt;0,1.2,1)</f>
        <v>1.2</v>
      </c>
      <c r="U99" s="203"/>
      <c r="V99" s="166"/>
      <c r="W99" s="172"/>
      <c r="X99" s="166"/>
      <c r="Y99" s="166"/>
    </row>
    <row r="100" spans="1:25" s="6" customFormat="1" x14ac:dyDescent="0.2">
      <c r="A100" s="566" t="s">
        <v>397</v>
      </c>
      <c r="B100" s="567" t="s">
        <v>398</v>
      </c>
      <c r="C100" s="567" t="s">
        <v>22</v>
      </c>
      <c r="D100" s="567" t="s">
        <v>22</v>
      </c>
      <c r="E100" s="566" t="str">
        <f>IF(AND('Staking Table'!$I$5&gt;900,'Staking Table'!$I$6&lt;=900),1,"-")</f>
        <v>-</v>
      </c>
      <c r="F100" s="568" t="str">
        <f>LEFT(Control!$D$23,1)</f>
        <v>A</v>
      </c>
      <c r="G100" s="569" t="s">
        <v>118</v>
      </c>
      <c r="H100" s="570" t="str">
        <f>IF(G100="",B100,B100&amp;"_"&amp;LEFT(Control!$D$23,1)&amp;9)</f>
        <v>TID_A9</v>
      </c>
      <c r="I100" s="571">
        <v>0.6</v>
      </c>
      <c r="J100" s="575">
        <f t="shared" si="18"/>
        <v>0.3995153313703993</v>
      </c>
      <c r="K100" s="575">
        <f t="shared" si="19"/>
        <v>9.5767499999999978E-2</v>
      </c>
      <c r="L100" s="577">
        <f>HLOOKUP(Ref!$L$93,Ref!$Q$79:$S$88,7,FALSE)/10</f>
        <v>0.8</v>
      </c>
      <c r="M100" s="573">
        <f>Ref!$R$94</f>
        <v>6850</v>
      </c>
      <c r="N100" s="567">
        <v>0</v>
      </c>
      <c r="O100" s="567">
        <f>ROUND(INDEX(Ref!$AA$96:$AB$98,MATCH(Ref!$L$93,Ice_Zones,0),MATCH(Ref!$L$96,Ref!$AA$95:$AB$95,0))-0.0085*900,0)</f>
        <v>-15</v>
      </c>
      <c r="P100" s="572"/>
      <c r="Q100" s="573">
        <v>1</v>
      </c>
      <c r="R100" s="572"/>
      <c r="S100" s="578" t="s">
        <v>301</v>
      </c>
      <c r="T100" s="567">
        <f t="shared" si="20"/>
        <v>1.2</v>
      </c>
      <c r="U100" s="203"/>
      <c r="V100" s="166"/>
      <c r="W100" s="172"/>
      <c r="X100" s="166"/>
      <c r="Y100" s="166"/>
    </row>
    <row r="101" spans="1:25" s="6" customFormat="1" hidden="1" x14ac:dyDescent="0.2">
      <c r="A101" s="566" t="s">
        <v>397</v>
      </c>
      <c r="B101" s="567" t="s">
        <v>398</v>
      </c>
      <c r="C101" s="567" t="s">
        <v>22</v>
      </c>
      <c r="D101" s="567" t="s">
        <v>22</v>
      </c>
      <c r="E101" s="566" t="str">
        <f>IF(Ref!$L$93="S",IF(AND('Staking Table'!$I$5&gt;700,'Staking Table'!$I$6&lt;=700),1,"-"),"-")</f>
        <v>-</v>
      </c>
      <c r="F101" s="568" t="str">
        <f>LEFT(Control!$D$23,1)</f>
        <v>A</v>
      </c>
      <c r="G101" s="569" t="s">
        <v>118</v>
      </c>
      <c r="H101" s="570" t="str">
        <f>IF(G101="",B101,B101&amp;"_"&amp;LEFT(Control!$D$23,1)&amp;7)</f>
        <v>TID_A7</v>
      </c>
      <c r="I101" s="571">
        <v>0.6</v>
      </c>
      <c r="J101" s="575">
        <f t="shared" si="18"/>
        <v>0.3995153313703993</v>
      </c>
      <c r="K101" s="575">
        <f t="shared" si="19"/>
        <v>9.5767499999999978E-2</v>
      </c>
      <c r="L101" s="577">
        <f>HLOOKUP(Ref!$L$93,Ref!$Q$79:$S$88,6,FALSE)/10</f>
        <v>0.5</v>
      </c>
      <c r="M101" s="573">
        <f>Ref!$R$94</f>
        <v>6850</v>
      </c>
      <c r="N101" s="567">
        <v>0</v>
      </c>
      <c r="O101" s="567">
        <f>ROUND(INDEX(Ref!$AA$96:$AB$98,MATCH(Ref!$L$93,Ice_Zones,0),MATCH(Ref!$L$96,Ref!$AA$95:$AB$95,0))-0.0085*700,0)</f>
        <v>-13</v>
      </c>
      <c r="P101" s="572"/>
      <c r="Q101" s="573">
        <v>1</v>
      </c>
      <c r="R101" s="572"/>
      <c r="S101" s="578" t="s">
        <v>301</v>
      </c>
      <c r="T101" s="567">
        <f t="shared" si="20"/>
        <v>1.2</v>
      </c>
      <c r="U101" s="203"/>
      <c r="V101" s="166"/>
      <c r="W101" s="172"/>
      <c r="X101" s="166"/>
      <c r="Y101" s="166"/>
    </row>
    <row r="102" spans="1:25" s="6" customFormat="1" ht="14.25" x14ac:dyDescent="0.2">
      <c r="A102" s="200" t="s">
        <v>399</v>
      </c>
      <c r="B102" s="165" t="s">
        <v>400</v>
      </c>
      <c r="C102" s="165" t="s">
        <v>22</v>
      </c>
      <c r="D102" s="165" t="s">
        <v>22</v>
      </c>
      <c r="E102" s="319">
        <f>IF(AND(E98=0,E103=0),"-",1)</f>
        <v>1</v>
      </c>
      <c r="F102" s="323" t="s">
        <v>22</v>
      </c>
      <c r="G102" s="327" t="s">
        <v>22</v>
      </c>
      <c r="H102" s="176" t="str">
        <f>B102</f>
        <v>TIO</v>
      </c>
      <c r="I102" s="177">
        <v>0.6</v>
      </c>
      <c r="J102" s="181">
        <v>0</v>
      </c>
      <c r="K102" s="181">
        <v>0</v>
      </c>
      <c r="L102" s="177">
        <v>0</v>
      </c>
      <c r="M102" s="181">
        <v>0</v>
      </c>
      <c r="N102" s="181">
        <v>0</v>
      </c>
      <c r="O102" s="181">
        <f>Ref!$L$57</f>
        <v>-14</v>
      </c>
      <c r="P102" s="204" t="s">
        <v>300</v>
      </c>
      <c r="Q102" s="179">
        <v>1</v>
      </c>
      <c r="R102" s="204" t="s">
        <v>300</v>
      </c>
      <c r="S102" s="197" t="s">
        <v>317</v>
      </c>
      <c r="T102" s="181">
        <f t="shared" si="15"/>
        <v>1</v>
      </c>
      <c r="U102" s="166"/>
      <c r="V102" s="166" t="s">
        <v>321</v>
      </c>
      <c r="W102" s="172"/>
      <c r="X102" s="166"/>
      <c r="Y102" s="166"/>
    </row>
    <row r="103" spans="1:25" s="6" customFormat="1" ht="14.25" hidden="1" x14ac:dyDescent="0.2">
      <c r="A103" s="200" t="s">
        <v>401</v>
      </c>
      <c r="B103" s="165" t="s">
        <v>402</v>
      </c>
      <c r="C103" s="165" t="s">
        <v>22</v>
      </c>
      <c r="D103" s="165" t="s">
        <v>22</v>
      </c>
      <c r="E103" s="319">
        <f>IF(OR(Control!$D$5="Y",SUM(L103)=0),"-",1)</f>
        <v>1</v>
      </c>
      <c r="F103" s="323" t="s">
        <v>22</v>
      </c>
      <c r="G103" s="327" t="s">
        <v>118</v>
      </c>
      <c r="H103" s="176" t="str">
        <f>IF(G103="",B103,B103&amp;"_"&amp;LEFT(Control!$D$22,LEN(Control!$D$22)-2))</f>
        <v>EIS_8</v>
      </c>
      <c r="I103" s="177">
        <v>0.6</v>
      </c>
      <c r="J103" s="181">
        <v>0</v>
      </c>
      <c r="K103" s="181">
        <v>0</v>
      </c>
      <c r="L103" s="473">
        <f>Ref!T$94</f>
        <v>5.5</v>
      </c>
      <c r="M103" s="179">
        <f>Ref!U$94</f>
        <v>3550</v>
      </c>
      <c r="N103" s="179">
        <v>0</v>
      </c>
      <c r="O103" s="181">
        <f>Ref!$L$57</f>
        <v>-14</v>
      </c>
      <c r="P103" s="204" t="s">
        <v>300</v>
      </c>
      <c r="Q103" s="179">
        <v>1</v>
      </c>
      <c r="R103" s="204" t="s">
        <v>300</v>
      </c>
      <c r="S103" s="198" t="s">
        <v>317</v>
      </c>
      <c r="T103" s="181">
        <f t="shared" si="15"/>
        <v>1.2</v>
      </c>
      <c r="U103" s="166"/>
      <c r="V103" s="166" t="s">
        <v>321</v>
      </c>
      <c r="W103" s="172"/>
      <c r="X103" s="166"/>
      <c r="Y103" s="166"/>
    </row>
    <row r="104" spans="1:25" s="6" customFormat="1" hidden="1" x14ac:dyDescent="0.2">
      <c r="A104" s="566" t="s">
        <v>401</v>
      </c>
      <c r="B104" s="567" t="s">
        <v>402</v>
      </c>
      <c r="C104" s="567" t="s">
        <v>22</v>
      </c>
      <c r="D104" s="567" t="s">
        <v>22</v>
      </c>
      <c r="E104" s="566" t="str">
        <f>IF(AND('Staking Table'!$I$5&gt;1200,'Staking Table'!$I$6&lt;=1200),1,"-")</f>
        <v>-</v>
      </c>
      <c r="F104" s="568" t="s">
        <v>22</v>
      </c>
      <c r="G104" s="569" t="s">
        <v>118</v>
      </c>
      <c r="H104" s="570" t="str">
        <f>IF(G104="",B104,B104&amp;"_"&amp;12)</f>
        <v>EIS_12</v>
      </c>
      <c r="I104" s="571">
        <v>0.6</v>
      </c>
      <c r="J104" s="567">
        <v>0</v>
      </c>
      <c r="K104" s="567">
        <v>0</v>
      </c>
      <c r="L104" s="577">
        <f>HLOOKUP(Ref!$L$93,Ref!$T$79:$V$88,8,FALSE)/10</f>
        <v>6</v>
      </c>
      <c r="M104" s="573">
        <f>INDEX(Ref!AD$83:AD$90,MATCH(L104*10,Ref!$Y$83:$Y$90,1),1)</f>
        <v>3300</v>
      </c>
      <c r="N104" s="573">
        <v>0</v>
      </c>
      <c r="O104" s="567">
        <f>ROUND(INDEX(Ref!$AA$96:$AB$98,MATCH(Ref!$L$93,Ice_Zones,0),MATCH(Ref!$L$96,Ref!$AA$95:$AB$95,0))-0.0085*1200,0)</f>
        <v>-17</v>
      </c>
      <c r="P104" s="572"/>
      <c r="Q104" s="573">
        <v>1</v>
      </c>
      <c r="R104" s="572"/>
      <c r="S104" s="574" t="s">
        <v>317</v>
      </c>
      <c r="T104" s="567">
        <f t="shared" ref="T104:T110" si="21">IF(L104&gt;0,1.2,1)</f>
        <v>1.2</v>
      </c>
      <c r="U104" s="166"/>
      <c r="V104" s="166"/>
      <c r="W104" s="172"/>
      <c r="X104" s="166"/>
      <c r="Y104" s="166"/>
    </row>
    <row r="105" spans="1:25" s="6" customFormat="1" x14ac:dyDescent="0.2">
      <c r="A105" s="566" t="s">
        <v>401</v>
      </c>
      <c r="B105" s="567" t="s">
        <v>402</v>
      </c>
      <c r="C105" s="567" t="s">
        <v>22</v>
      </c>
      <c r="D105" s="567" t="s">
        <v>22</v>
      </c>
      <c r="E105" s="566" t="str">
        <f>IF(AND('Staking Table'!$I$5&gt;900,'Staking Table'!$I$6&lt;=900),1,"-")</f>
        <v>-</v>
      </c>
      <c r="F105" s="568" t="s">
        <v>22</v>
      </c>
      <c r="G105" s="569" t="s">
        <v>118</v>
      </c>
      <c r="H105" s="570" t="str">
        <f>IF(G105="",B105,B105&amp;"_"&amp;9)</f>
        <v>EIS_9</v>
      </c>
      <c r="I105" s="571">
        <v>0.6</v>
      </c>
      <c r="J105" s="567">
        <v>0</v>
      </c>
      <c r="K105" s="567">
        <v>0</v>
      </c>
      <c r="L105" s="577">
        <f>HLOOKUP(Ref!$L$93,Ref!$T$79:$V$88,7,FALSE)/10</f>
        <v>5.5</v>
      </c>
      <c r="M105" s="573">
        <f>INDEX(Ref!AD$83:AD$90,MATCH(L105*10,Ref!$Y$83:$Y$90,1),1)</f>
        <v>3550</v>
      </c>
      <c r="N105" s="573">
        <v>0</v>
      </c>
      <c r="O105" s="567">
        <f>ROUND(INDEX(Ref!$AA$96:$AB$98,MATCH(Ref!$L$93,Ice_Zones,0),MATCH(Ref!$L$96,Ref!$AA$95:$AB$95,0))-0.0085*900,0)</f>
        <v>-15</v>
      </c>
      <c r="P105" s="572"/>
      <c r="Q105" s="573">
        <v>1</v>
      </c>
      <c r="R105" s="572"/>
      <c r="S105" s="574" t="s">
        <v>317</v>
      </c>
      <c r="T105" s="567">
        <f t="shared" si="21"/>
        <v>1.2</v>
      </c>
      <c r="U105" s="166"/>
      <c r="V105" s="166"/>
      <c r="W105" s="172"/>
      <c r="X105" s="166"/>
      <c r="Y105" s="166"/>
    </row>
    <row r="106" spans="1:25" s="6" customFormat="1" hidden="1" x14ac:dyDescent="0.2">
      <c r="A106" s="566" t="s">
        <v>401</v>
      </c>
      <c r="B106" s="567" t="s">
        <v>402</v>
      </c>
      <c r="C106" s="567" t="s">
        <v>22</v>
      </c>
      <c r="D106" s="567" t="s">
        <v>22</v>
      </c>
      <c r="E106" s="566" t="str">
        <f>IF(Ref!$L$93="S",IF(AND('Staking Table'!$I$5&gt;700,'Staking Table'!$I$6&lt;=700),1,"-"),"-")</f>
        <v>-</v>
      </c>
      <c r="F106" s="568" t="s">
        <v>22</v>
      </c>
      <c r="G106" s="569" t="s">
        <v>118</v>
      </c>
      <c r="H106" s="570" t="str">
        <f>IF(G106="",B106,B106&amp;"_"&amp;7)</f>
        <v>EIS_7</v>
      </c>
      <c r="I106" s="571">
        <v>0.6</v>
      </c>
      <c r="J106" s="567">
        <v>0</v>
      </c>
      <c r="K106" s="567">
        <v>0</v>
      </c>
      <c r="L106" s="577">
        <f>HLOOKUP(Ref!$L$93,Ref!$T$79:$V$88,6,FALSE)/10</f>
        <v>5</v>
      </c>
      <c r="M106" s="573">
        <f>INDEX(Ref!AD$83:AD$90,MATCH(L106*10,Ref!$Y$83:$Y$90,1),1)</f>
        <v>3850</v>
      </c>
      <c r="N106" s="573">
        <v>0</v>
      </c>
      <c r="O106" s="567">
        <f>ROUND(INDEX(Ref!$AA$96:$AB$98,MATCH(Ref!$L$93,Ice_Zones,0),MATCH(Ref!$L$96,Ref!$AA$95:$AB$95,0))-0.0085*700,0)</f>
        <v>-13</v>
      </c>
      <c r="P106" s="572"/>
      <c r="Q106" s="573">
        <v>1</v>
      </c>
      <c r="R106" s="572"/>
      <c r="S106" s="574" t="s">
        <v>317</v>
      </c>
      <c r="T106" s="567">
        <f t="shared" si="21"/>
        <v>1.2</v>
      </c>
      <c r="U106" s="166"/>
      <c r="V106" s="166"/>
      <c r="W106" s="172"/>
      <c r="X106" s="166"/>
      <c r="Y106" s="166"/>
    </row>
    <row r="107" spans="1:25" s="6" customFormat="1" ht="14.25" hidden="1" x14ac:dyDescent="0.2">
      <c r="A107" s="200" t="s">
        <v>403</v>
      </c>
      <c r="B107" s="165" t="s">
        <v>404</v>
      </c>
      <c r="C107" s="165" t="s">
        <v>22</v>
      </c>
      <c r="D107" s="165" t="s">
        <v>22</v>
      </c>
      <c r="E107" s="319">
        <f>E103</f>
        <v>1</v>
      </c>
      <c r="F107" s="323" t="s">
        <v>22</v>
      </c>
      <c r="G107" s="327" t="s">
        <v>118</v>
      </c>
      <c r="H107" s="176" t="str">
        <f>IF(G107="",B107,B107&amp;"_"&amp;LEFT(Control!$D$22,LEN(Control!$D$22)-2))</f>
        <v>EID_8</v>
      </c>
      <c r="I107" s="177">
        <v>0.6</v>
      </c>
      <c r="J107" s="178">
        <f>(K107/0.6)^0.5</f>
        <v>4.0824829046386304</v>
      </c>
      <c r="K107" s="181">
        <f>$K$46*0.5</f>
        <v>10</v>
      </c>
      <c r="L107" s="473">
        <f>Ref!T$94</f>
        <v>5.5</v>
      </c>
      <c r="M107" s="179">
        <f>Ref!U$94</f>
        <v>3550</v>
      </c>
      <c r="N107" s="179">
        <v>0</v>
      </c>
      <c r="O107" s="181">
        <f>Ref!$L$57</f>
        <v>-14</v>
      </c>
      <c r="P107" s="204" t="s">
        <v>300</v>
      </c>
      <c r="Q107" s="179">
        <v>1</v>
      </c>
      <c r="R107" s="204" t="s">
        <v>300</v>
      </c>
      <c r="S107" s="198" t="s">
        <v>317</v>
      </c>
      <c r="T107" s="181">
        <f t="shared" si="21"/>
        <v>1.2</v>
      </c>
      <c r="U107" s="166"/>
      <c r="V107" s="166" t="s">
        <v>321</v>
      </c>
      <c r="W107" s="172"/>
      <c r="X107" s="166"/>
      <c r="Y107" s="166"/>
    </row>
    <row r="108" spans="1:25" s="6" customFormat="1" hidden="1" x14ac:dyDescent="0.2">
      <c r="A108" s="566" t="s">
        <v>403</v>
      </c>
      <c r="B108" s="567" t="s">
        <v>404</v>
      </c>
      <c r="C108" s="567" t="s">
        <v>22</v>
      </c>
      <c r="D108" s="567" t="s">
        <v>22</v>
      </c>
      <c r="E108" s="566" t="str">
        <f>IF(AND('Staking Table'!$I$5&gt;1200,'Staking Table'!$I$6&lt;=1200),1,"-")</f>
        <v>-</v>
      </c>
      <c r="F108" s="568" t="s">
        <v>22</v>
      </c>
      <c r="G108" s="569" t="s">
        <v>118</v>
      </c>
      <c r="H108" s="570" t="str">
        <f>IF(G108="",B108,B108&amp;"_"&amp;12)</f>
        <v>EID_12</v>
      </c>
      <c r="I108" s="571">
        <v>0.6</v>
      </c>
      <c r="J108" s="575">
        <f t="shared" ref="J108:J110" si="22">(K108/0.6)^0.5</f>
        <v>4.0824829046386304</v>
      </c>
      <c r="K108" s="567">
        <f t="shared" ref="K108:K110" si="23">$K$46*0.5</f>
        <v>10</v>
      </c>
      <c r="L108" s="577">
        <f>HLOOKUP(Ref!$L$93,Ref!$T$79:$V$88,8,FALSE)/10</f>
        <v>6</v>
      </c>
      <c r="M108" s="573">
        <f>INDEX(Ref!AD$83:AD$90,MATCH(L108*10,Ref!$Y$83:$Y$90,1),1)</f>
        <v>3300</v>
      </c>
      <c r="N108" s="573">
        <v>0</v>
      </c>
      <c r="O108" s="567">
        <f>ROUND(INDEX(Ref!$AA$96:$AB$98,MATCH(Ref!$L$93,Ice_Zones,0),MATCH(Ref!$L$96,Ref!$AA$95:$AB$95,0))-0.0085*1200,0)</f>
        <v>-17</v>
      </c>
      <c r="P108" s="572"/>
      <c r="Q108" s="573">
        <v>1</v>
      </c>
      <c r="R108" s="572"/>
      <c r="S108" s="574" t="s">
        <v>317</v>
      </c>
      <c r="T108" s="567">
        <f t="shared" si="21"/>
        <v>1.2</v>
      </c>
      <c r="U108" s="166"/>
      <c r="V108" s="166"/>
      <c r="W108" s="172"/>
      <c r="X108" s="166"/>
      <c r="Y108" s="166"/>
    </row>
    <row r="109" spans="1:25" s="6" customFormat="1" x14ac:dyDescent="0.2">
      <c r="A109" s="566" t="s">
        <v>403</v>
      </c>
      <c r="B109" s="567" t="s">
        <v>404</v>
      </c>
      <c r="C109" s="567" t="s">
        <v>22</v>
      </c>
      <c r="D109" s="567" t="s">
        <v>22</v>
      </c>
      <c r="E109" s="566" t="str">
        <f>IF(AND('Staking Table'!$I$5&gt;900,'Staking Table'!$I$6&lt;=900),1,"-")</f>
        <v>-</v>
      </c>
      <c r="F109" s="568" t="s">
        <v>22</v>
      </c>
      <c r="G109" s="569" t="s">
        <v>118</v>
      </c>
      <c r="H109" s="570" t="str">
        <f>IF(G109="",B109,B109&amp;"_"&amp;9)</f>
        <v>EID_9</v>
      </c>
      <c r="I109" s="571">
        <v>0.6</v>
      </c>
      <c r="J109" s="575">
        <f t="shared" si="22"/>
        <v>4.0824829046386304</v>
      </c>
      <c r="K109" s="567">
        <f t="shared" si="23"/>
        <v>10</v>
      </c>
      <c r="L109" s="577">
        <f>HLOOKUP(Ref!$L$93,Ref!$T$79:$V$88,7,FALSE)/10</f>
        <v>5.5</v>
      </c>
      <c r="M109" s="573">
        <f>INDEX(Ref!AD$83:AD$90,MATCH(L109*10,Ref!$Y$83:$Y$90,1),1)</f>
        <v>3550</v>
      </c>
      <c r="N109" s="573">
        <v>0</v>
      </c>
      <c r="O109" s="567">
        <f>ROUND(INDEX(Ref!$AA$96:$AB$98,MATCH(Ref!$L$93,Ice_Zones,0),MATCH(Ref!$L$96,Ref!$AA$95:$AB$95,0))-0.0085*900,0)</f>
        <v>-15</v>
      </c>
      <c r="P109" s="572"/>
      <c r="Q109" s="573">
        <v>1</v>
      </c>
      <c r="R109" s="572"/>
      <c r="S109" s="574" t="s">
        <v>317</v>
      </c>
      <c r="T109" s="567">
        <f t="shared" si="21"/>
        <v>1.2</v>
      </c>
      <c r="U109" s="166"/>
      <c r="V109" s="166"/>
      <c r="W109" s="172"/>
      <c r="X109" s="166"/>
      <c r="Y109" s="166"/>
    </row>
    <row r="110" spans="1:25" s="6" customFormat="1" hidden="1" x14ac:dyDescent="0.2">
      <c r="A110" s="566" t="s">
        <v>403</v>
      </c>
      <c r="B110" s="567" t="s">
        <v>404</v>
      </c>
      <c r="C110" s="567" t="s">
        <v>22</v>
      </c>
      <c r="D110" s="567" t="s">
        <v>22</v>
      </c>
      <c r="E110" s="566" t="str">
        <f>IF(Ref!$L$93="S",IF(AND('Staking Table'!$I$5&gt;700,'Staking Table'!$I$6&lt;=700),1,"-"),"-")</f>
        <v>-</v>
      </c>
      <c r="F110" s="568" t="s">
        <v>22</v>
      </c>
      <c r="G110" s="569" t="s">
        <v>118</v>
      </c>
      <c r="H110" s="570" t="str">
        <f>IF(G110="",B110,B110&amp;"_"&amp;7)</f>
        <v>EID_7</v>
      </c>
      <c r="I110" s="571">
        <v>0.6</v>
      </c>
      <c r="J110" s="575">
        <f t="shared" si="22"/>
        <v>4.0824829046386304</v>
      </c>
      <c r="K110" s="567">
        <f t="shared" si="23"/>
        <v>10</v>
      </c>
      <c r="L110" s="577">
        <f>HLOOKUP(Ref!$L$93,Ref!$T$79:$V$88,6,FALSE)/10</f>
        <v>5</v>
      </c>
      <c r="M110" s="573">
        <f>INDEX(Ref!AD$83:AD$90,MATCH(L110*10,Ref!$Y$83:$Y$90,1),1)</f>
        <v>3850</v>
      </c>
      <c r="N110" s="573">
        <v>0</v>
      </c>
      <c r="O110" s="567">
        <f>ROUND(INDEX(Ref!$AA$96:$AB$98,MATCH(Ref!$L$93,Ice_Zones,0),MATCH(Ref!$L$96,Ref!$AA$95:$AB$95,0))-0.0085*700,0)</f>
        <v>-13</v>
      </c>
      <c r="P110" s="572"/>
      <c r="Q110" s="573">
        <v>1</v>
      </c>
      <c r="R110" s="572"/>
      <c r="S110" s="574" t="s">
        <v>317</v>
      </c>
      <c r="T110" s="567">
        <f t="shared" si="21"/>
        <v>1.2</v>
      </c>
      <c r="U110" s="166"/>
      <c r="V110" s="166"/>
      <c r="W110" s="172"/>
      <c r="X110" s="166"/>
      <c r="Y110" s="166"/>
    </row>
    <row r="111" spans="1:25" s="6" customFormat="1" ht="14.25" x14ac:dyDescent="0.2">
      <c r="A111" s="200" t="s">
        <v>405</v>
      </c>
      <c r="B111" s="165" t="s">
        <v>406</v>
      </c>
      <c r="C111" s="165" t="s">
        <v>22</v>
      </c>
      <c r="D111" s="165" t="s">
        <v>22</v>
      </c>
      <c r="E111" s="319">
        <f>IF(Control!$D$5="Y","-",1)</f>
        <v>1</v>
      </c>
      <c r="F111" s="323" t="s">
        <v>22</v>
      </c>
      <c r="G111" s="327" t="s">
        <v>118</v>
      </c>
      <c r="H111" s="176" t="str">
        <f>IF(G111="",B111,B111&amp;"_"&amp;LEFT(Control!$D$22,LEN(Control!$D$22)-2))</f>
        <v>MTS_8</v>
      </c>
      <c r="I111" s="177">
        <v>0.6</v>
      </c>
      <c r="J111" s="181">
        <v>0</v>
      </c>
      <c r="K111" s="181">
        <v>0</v>
      </c>
      <c r="L111" s="177">
        <v>0</v>
      </c>
      <c r="M111" s="181">
        <v>0</v>
      </c>
      <c r="N111" s="181">
        <v>0</v>
      </c>
      <c r="O111" s="179">
        <f>Ref!$L$57</f>
        <v>-14</v>
      </c>
      <c r="P111" s="204" t="s">
        <v>300</v>
      </c>
      <c r="Q111" s="179">
        <v>1</v>
      </c>
      <c r="R111" s="204" t="s">
        <v>300</v>
      </c>
      <c r="S111" s="198" t="s">
        <v>317</v>
      </c>
      <c r="T111" s="181">
        <f t="shared" si="15"/>
        <v>1</v>
      </c>
      <c r="U111" s="166"/>
      <c r="V111" s="166" t="s">
        <v>310</v>
      </c>
      <c r="W111" s="172"/>
      <c r="X111" s="166"/>
      <c r="Y111" s="166"/>
    </row>
    <row r="112" spans="1:25" s="6" customFormat="1" ht="14.25" x14ac:dyDescent="0.2">
      <c r="A112" s="200" t="s">
        <v>407</v>
      </c>
      <c r="B112" s="165" t="s">
        <v>408</v>
      </c>
      <c r="C112" s="165">
        <v>15</v>
      </c>
      <c r="D112" s="165">
        <v>15</v>
      </c>
      <c r="E112" s="319">
        <f>IF(OR(Control!$D$5="Y",SUM(K112:L112)=0),"-",1)</f>
        <v>1</v>
      </c>
      <c r="F112" s="323" t="str">
        <f>LEFT(Control!$D$23,1)</f>
        <v>A</v>
      </c>
      <c r="G112" s="327" t="s">
        <v>118</v>
      </c>
      <c r="H112" s="176" t="str">
        <f>IF(G112="",B112,B112&amp;"_"&amp;LEFT(Control!$D$23,1)&amp;LEFT(Control!$D$22,LEN(Control!$D$22)-2))</f>
        <v>RCW_A8</v>
      </c>
      <c r="I112" s="177">
        <v>0.6</v>
      </c>
      <c r="J112" s="178">
        <f>INDEX(Ref!$D$7:$G$40,MATCH('Weather Cases All'!D112,Ref!$C$7:$C$40,0),MATCH(LEFT(Control!$D$23,1)&amp;"MW",Ref!$D$6:$G$6,0))</f>
        <v>0.77700000000000002</v>
      </c>
      <c r="K112" s="178">
        <f>J112^2*0.6</f>
        <v>0.36223740000000004</v>
      </c>
      <c r="L112" s="177">
        <v>0</v>
      </c>
      <c r="M112" s="181">
        <v>0</v>
      </c>
      <c r="N112" s="181">
        <v>0</v>
      </c>
      <c r="O112" s="179">
        <f>Ref!$L$55</f>
        <v>5</v>
      </c>
      <c r="P112" s="204" t="s">
        <v>300</v>
      </c>
      <c r="Q112" s="179">
        <v>1</v>
      </c>
      <c r="R112" s="204" t="s">
        <v>300</v>
      </c>
      <c r="S112" s="197" t="s">
        <v>301</v>
      </c>
      <c r="T112" s="181">
        <f t="shared" si="15"/>
        <v>1</v>
      </c>
      <c r="U112" s="203"/>
      <c r="V112" s="166" t="s">
        <v>302</v>
      </c>
      <c r="W112" s="172"/>
      <c r="X112" s="166"/>
      <c r="Y112" s="166"/>
    </row>
    <row r="113" spans="1:25" s="6" customFormat="1" ht="14.25" x14ac:dyDescent="0.2">
      <c r="A113" s="200" t="s">
        <v>409</v>
      </c>
      <c r="B113" s="165" t="s">
        <v>410</v>
      </c>
      <c r="C113" s="165">
        <v>10</v>
      </c>
      <c r="D113" s="165">
        <v>10</v>
      </c>
      <c r="E113" s="319">
        <f>IF(OR(Control!$D$5="Y",SUM(K113:L113)=0),"-",1)</f>
        <v>1</v>
      </c>
      <c r="F113" s="323" t="str">
        <f>LEFT(Control!$D$23,1)</f>
        <v>A</v>
      </c>
      <c r="G113" s="327" t="s">
        <v>118</v>
      </c>
      <c r="H113" s="176" t="str">
        <f>IF(G113="",B113,B113&amp;"_"&amp;LEFT(Control!$D$23,1)&amp;LEFT(Control!$D$22,LEN(Control!$D$22)-2))</f>
        <v>CA6_A8</v>
      </c>
      <c r="I113" s="177">
        <v>0.6</v>
      </c>
      <c r="J113" s="178">
        <f>INDEX(Ref!$D$7:$G$40,MATCH('Weather Cases All'!D113,Ref!$C$7:$C$40,0),MATCH(LEFT(Control!$D$23,1)&amp;"MW",Ref!$D$6:$G$6,0))</f>
        <v>0.749</v>
      </c>
      <c r="K113" s="178">
        <f>J113^2*0.6</f>
        <v>0.33660059999999997</v>
      </c>
      <c r="L113" s="177">
        <v>0</v>
      </c>
      <c r="M113" s="181">
        <v>0</v>
      </c>
      <c r="N113" s="181">
        <v>0</v>
      </c>
      <c r="O113" s="179">
        <f>Ref!$L$55</f>
        <v>5</v>
      </c>
      <c r="P113" s="204" t="s">
        <v>300</v>
      </c>
      <c r="Q113" s="179">
        <v>1</v>
      </c>
      <c r="R113" s="204" t="s">
        <v>300</v>
      </c>
      <c r="S113" s="197" t="s">
        <v>301</v>
      </c>
      <c r="T113" s="181">
        <f t="shared" si="15"/>
        <v>1</v>
      </c>
      <c r="U113" s="203"/>
      <c r="V113" s="166" t="s">
        <v>302</v>
      </c>
      <c r="W113" s="172"/>
      <c r="X113" s="166"/>
      <c r="Y113" s="166"/>
    </row>
    <row r="114" spans="1:25" s="6" customFormat="1" ht="14.25" x14ac:dyDescent="0.2">
      <c r="A114" s="200" t="s">
        <v>411</v>
      </c>
      <c r="B114" s="165" t="s">
        <v>412</v>
      </c>
      <c r="C114" s="165">
        <v>4</v>
      </c>
      <c r="D114" s="165">
        <v>4</v>
      </c>
      <c r="E114" s="319">
        <f>IF(OR(Control!$D$5="Y",SUM(K114:L114)=0),"-",1)</f>
        <v>1</v>
      </c>
      <c r="F114" s="323" t="str">
        <f>LEFT(Control!$D$23,1)</f>
        <v>A</v>
      </c>
      <c r="G114" s="327" t="s">
        <v>118</v>
      </c>
      <c r="H114" s="176" t="str">
        <f>IF(G114="",B114,B114&amp;"_"&amp;LEFT(Control!$D$23,1)&amp;LEFT(Control!$D$22,LEN(Control!$D$22)-2))</f>
        <v>CA1_A8</v>
      </c>
      <c r="I114" s="177">
        <v>0.6</v>
      </c>
      <c r="J114" s="178">
        <f>INDEX(Ref!$D$7:$G$40,MATCH('Weather Cases All'!D114,Ref!$C$7:$C$40,0),MATCH(LEFT(Control!$D$23,1)&amp;"MW",Ref!$D$6:$G$6,0))</f>
        <v>0.68100000000000005</v>
      </c>
      <c r="K114" s="178">
        <f>J114^2*0.6</f>
        <v>0.27825660000000002</v>
      </c>
      <c r="L114" s="177">
        <v>0</v>
      </c>
      <c r="M114" s="181">
        <v>0</v>
      </c>
      <c r="N114" s="181">
        <v>0</v>
      </c>
      <c r="O114" s="179">
        <f>Ref!$L$55</f>
        <v>5</v>
      </c>
      <c r="P114" s="204" t="s">
        <v>300</v>
      </c>
      <c r="Q114" s="179">
        <v>1</v>
      </c>
      <c r="R114" s="204" t="s">
        <v>300</v>
      </c>
      <c r="S114" s="197" t="s">
        <v>301</v>
      </c>
      <c r="T114" s="181">
        <f t="shared" si="15"/>
        <v>1</v>
      </c>
      <c r="U114" s="203"/>
      <c r="V114" s="166" t="s">
        <v>302</v>
      </c>
      <c r="W114" s="172"/>
      <c r="X114" s="166"/>
      <c r="Y114" s="166"/>
    </row>
    <row r="115" spans="1:25" s="6" customFormat="1" ht="14.25" x14ac:dyDescent="0.2">
      <c r="A115" s="200" t="s">
        <v>413</v>
      </c>
      <c r="B115" s="165" t="s">
        <v>414</v>
      </c>
      <c r="C115" s="165">
        <v>2</v>
      </c>
      <c r="D115" s="165">
        <v>2</v>
      </c>
      <c r="E115" s="319">
        <f>IF(OR(Control!$D$5="Y",SUM(K115:L115)=0),"-",1)</f>
        <v>1</v>
      </c>
      <c r="F115" s="323" t="str">
        <f>LEFT(Control!$D$23,1)</f>
        <v>A</v>
      </c>
      <c r="G115" s="327" t="s">
        <v>118</v>
      </c>
      <c r="H115" s="176" t="str">
        <f>IF(G115="",B115,B115&amp;"_"&amp;LEFT(Control!$D$23,1)&amp;LEFT(Control!$D$22,LEN(Control!$D$22)-2))</f>
        <v>CA0_A8</v>
      </c>
      <c r="I115" s="177">
        <v>0.6</v>
      </c>
      <c r="J115" s="178">
        <f>INDEX(Ref!$D$7:$G$40,MATCH('Weather Cases All'!D115,Ref!$C$7:$C$40,0),MATCH(LEFT(Control!$D$23,1)&amp;"MW",Ref!$D$6:$G$6,0))</f>
        <v>0.625</v>
      </c>
      <c r="K115" s="178">
        <f>J115^2*0.6</f>
        <v>0.234375</v>
      </c>
      <c r="L115" s="177">
        <v>0</v>
      </c>
      <c r="M115" s="181">
        <v>0</v>
      </c>
      <c r="N115" s="181">
        <v>0</v>
      </c>
      <c r="O115" s="179">
        <f>Ref!$L$55</f>
        <v>5</v>
      </c>
      <c r="P115" s="204" t="s">
        <v>300</v>
      </c>
      <c r="Q115" s="179">
        <v>1</v>
      </c>
      <c r="R115" s="204" t="s">
        <v>300</v>
      </c>
      <c r="S115" s="197" t="s">
        <v>301</v>
      </c>
      <c r="T115" s="181">
        <f t="shared" si="15"/>
        <v>1</v>
      </c>
      <c r="U115" s="203"/>
      <c r="V115" s="166" t="s">
        <v>302</v>
      </c>
      <c r="W115" s="172"/>
      <c r="X115" s="166"/>
      <c r="Y115" s="166"/>
    </row>
    <row r="116" spans="1:25" s="6" customFormat="1" ht="14.25" x14ac:dyDescent="0.2">
      <c r="A116" s="200" t="s">
        <v>415</v>
      </c>
      <c r="B116" s="165" t="s">
        <v>416</v>
      </c>
      <c r="C116" s="165"/>
      <c r="D116" s="165" t="s">
        <v>22</v>
      </c>
      <c r="E116" s="319">
        <f>IF(OR(Control!$D$5="Y",SUM(L116)=0),"-",1)</f>
        <v>1</v>
      </c>
      <c r="F116" s="323" t="s">
        <v>22</v>
      </c>
      <c r="G116" s="327" t="s">
        <v>118</v>
      </c>
      <c r="H116" s="176" t="str">
        <f>IF(G116="",B116,B116&amp;"_"&amp;LEFT(Control!$D$22,LEN(Control!$D$22)-2))</f>
        <v>RCS_8</v>
      </c>
      <c r="I116" s="177">
        <v>0.6</v>
      </c>
      <c r="J116" s="181">
        <v>0</v>
      </c>
      <c r="K116" s="181">
        <v>0</v>
      </c>
      <c r="L116" s="473">
        <f>Ref!$N$120</f>
        <v>1</v>
      </c>
      <c r="M116" s="179">
        <f>Ref!$O$120</f>
        <v>3900</v>
      </c>
      <c r="N116" s="179">
        <v>0</v>
      </c>
      <c r="O116" s="181">
        <f>Ref!$L$58</f>
        <v>-5</v>
      </c>
      <c r="P116" s="204" t="s">
        <v>300</v>
      </c>
      <c r="Q116" s="179">
        <v>1</v>
      </c>
      <c r="R116" s="204" t="s">
        <v>300</v>
      </c>
      <c r="S116" s="198" t="s">
        <v>317</v>
      </c>
      <c r="T116" s="181">
        <f t="shared" si="15"/>
        <v>1.2</v>
      </c>
      <c r="U116" s="166"/>
      <c r="V116" s="166" t="s">
        <v>318</v>
      </c>
      <c r="W116" s="172"/>
      <c r="X116" s="166"/>
      <c r="Y116" s="166"/>
    </row>
    <row r="117" spans="1:25" s="6" customFormat="1" ht="14.25" hidden="1" x14ac:dyDescent="0.2">
      <c r="A117" s="200" t="s">
        <v>417</v>
      </c>
      <c r="B117" s="165" t="s">
        <v>418</v>
      </c>
      <c r="C117" s="165"/>
      <c r="D117" s="165" t="s">
        <v>22</v>
      </c>
      <c r="E117" s="319">
        <f>IF(OR(Control!$D$5="Y",SUM(L117)=0),"-",1)</f>
        <v>1</v>
      </c>
      <c r="F117" s="323" t="s">
        <v>22</v>
      </c>
      <c r="G117" s="327" t="s">
        <v>118</v>
      </c>
      <c r="H117" s="176" t="str">
        <f>IF(G117="",B117,B117&amp;"_"&amp;LEFT(Control!$D$22,LEN(Control!$D$22)-2))</f>
        <v>RCI_8</v>
      </c>
      <c r="I117" s="177">
        <v>0.6</v>
      </c>
      <c r="J117" s="181">
        <v>0</v>
      </c>
      <c r="K117" s="181">
        <v>0</v>
      </c>
      <c r="L117" s="473">
        <f>Ref!$T$120</f>
        <v>1.8</v>
      </c>
      <c r="M117" s="179">
        <f>Ref!$U$120</f>
        <v>6850</v>
      </c>
      <c r="N117" s="179">
        <v>0</v>
      </c>
      <c r="O117" s="181">
        <f>Ref!$L$57</f>
        <v>-14</v>
      </c>
      <c r="P117" s="204" t="s">
        <v>300</v>
      </c>
      <c r="Q117" s="179">
        <v>1</v>
      </c>
      <c r="R117" s="204" t="s">
        <v>300</v>
      </c>
      <c r="S117" s="198" t="s">
        <v>317</v>
      </c>
      <c r="T117" s="181">
        <f t="shared" si="15"/>
        <v>1.2</v>
      </c>
      <c r="U117" s="166"/>
      <c r="V117" s="166" t="s">
        <v>321</v>
      </c>
      <c r="W117" s="172"/>
      <c r="X117" s="166"/>
      <c r="Y117" s="166"/>
    </row>
    <row r="118" spans="1:25" s="6" customFormat="1" ht="15" hidden="1" x14ac:dyDescent="0.2">
      <c r="A118" s="471" t="s">
        <v>419</v>
      </c>
      <c r="B118" s="472"/>
      <c r="C118" s="472"/>
      <c r="D118" s="165"/>
      <c r="E118" s="319" t="s">
        <v>22</v>
      </c>
      <c r="F118" s="323" t="s">
        <v>22</v>
      </c>
      <c r="G118" s="327" t="s">
        <v>22</v>
      </c>
      <c r="H118" s="479"/>
      <c r="I118" s="181"/>
      <c r="J118" s="181"/>
      <c r="K118" s="181"/>
      <c r="L118" s="177"/>
      <c r="M118" s="181"/>
      <c r="N118" s="181"/>
      <c r="O118" s="181"/>
      <c r="P118" s="204" t="s">
        <v>300</v>
      </c>
      <c r="Q118" s="181"/>
      <c r="R118" s="204" t="s">
        <v>300</v>
      </c>
      <c r="S118" s="198"/>
      <c r="T118" s="181"/>
      <c r="U118" s="166"/>
      <c r="V118" s="166"/>
      <c r="W118" s="172"/>
      <c r="X118" s="166"/>
      <c r="Y118" s="166"/>
    </row>
    <row r="119" spans="1:25" s="6" customFormat="1" ht="14.25" hidden="1" x14ac:dyDescent="0.2">
      <c r="A119" s="165" t="s">
        <v>420</v>
      </c>
      <c r="B119" s="165" t="s">
        <v>421</v>
      </c>
      <c r="C119" s="165">
        <v>500</v>
      </c>
      <c r="D119" s="164" t="s">
        <v>22</v>
      </c>
      <c r="E119" s="319" t="s">
        <v>22</v>
      </c>
      <c r="F119" s="323" t="s">
        <v>22</v>
      </c>
      <c r="G119" s="327" t="s">
        <v>22</v>
      </c>
      <c r="H119" s="176" t="str">
        <f>IF(G119="",B119,B119&amp;"_"&amp;LEFT(Control!$D$22,LEN(Control!$D$22)-2))</f>
        <v>EQ_8</v>
      </c>
      <c r="I119" s="177">
        <v>0.6</v>
      </c>
      <c r="J119" s="179">
        <v>0</v>
      </c>
      <c r="K119" s="179">
        <v>0</v>
      </c>
      <c r="L119" s="473">
        <v>0</v>
      </c>
      <c r="M119" s="179">
        <v>0</v>
      </c>
      <c r="N119" s="179">
        <v>0</v>
      </c>
      <c r="O119" s="181">
        <f>Ref!$L$54</f>
        <v>5</v>
      </c>
      <c r="P119" s="204" t="s">
        <v>300</v>
      </c>
      <c r="Q119" s="179">
        <v>1</v>
      </c>
      <c r="R119" s="204" t="s">
        <v>300</v>
      </c>
      <c r="S119" s="198" t="s">
        <v>317</v>
      </c>
      <c r="T119" s="181">
        <f t="shared" ref="T119" si="24">IF(L119&gt;0,1.2,1)</f>
        <v>1</v>
      </c>
      <c r="U119" s="166"/>
      <c r="V119" s="166" t="s">
        <v>328</v>
      </c>
      <c r="W119" s="172"/>
      <c r="X119" s="166"/>
      <c r="Y119" s="166"/>
    </row>
  </sheetData>
  <sheetProtection autoFilter="0"/>
  <autoFilter ref="A8:V119" xr:uid="{00000000-0009-0000-0000-000004000000}">
    <filterColumn colId="4">
      <filters>
        <filter val="1"/>
      </filters>
    </filterColumn>
  </autoFilter>
  <phoneticPr fontId="90" type="noConversion"/>
  <conditionalFormatting sqref="C10:C39">
    <cfRule type="expression" dxfId="8" priority="36">
      <formula>C10&lt;1</formula>
    </cfRule>
  </conditionalFormatting>
  <conditionalFormatting sqref="C55:C115">
    <cfRule type="expression" dxfId="7" priority="1">
      <formula>C55&lt;1</formula>
    </cfRule>
  </conditionalFormatting>
  <conditionalFormatting sqref="D10:D117">
    <cfRule type="expression" dxfId="6" priority="2">
      <formula>D10&lt;1</formula>
    </cfRule>
  </conditionalFormatting>
  <conditionalFormatting sqref="D119">
    <cfRule type="expression" dxfId="5" priority="74">
      <formula>D119&lt;1</formula>
    </cfRule>
  </conditionalFormatting>
  <conditionalFormatting sqref="K10:K39">
    <cfRule type="expression" dxfId="4" priority="29">
      <formula>$K$42&gt;1</formula>
    </cfRule>
  </conditionalFormatting>
  <conditionalFormatting sqref="K42:K45">
    <cfRule type="expression" dxfId="3" priority="46">
      <formula>$K$42&gt;1</formula>
    </cfRule>
  </conditionalFormatting>
  <conditionalFormatting sqref="K56 K59 K98:K101">
    <cfRule type="expression" dxfId="2" priority="66">
      <formula>$K$42&gt;1</formula>
    </cfRule>
  </conditionalFormatting>
  <conditionalFormatting sqref="K79:K88">
    <cfRule type="expression" dxfId="1" priority="8">
      <formula>$K$42&gt;1</formula>
    </cfRule>
  </conditionalFormatting>
  <conditionalFormatting sqref="K112:K115">
    <cfRule type="expression" dxfId="0" priority="27">
      <formula>$K$42&gt;1</formula>
    </cfRule>
  </conditionalFormatting>
  <hyperlinks>
    <hyperlink ref="E1" location="Control!A1" display="CONTROL INPUT" xr:uid="{1C120747-6B51-4C1A-A9BD-A3F23E7E2776}"/>
    <hyperlink ref="A1" location="Instructions!A1" display="INSTRUCTIONS" xr:uid="{4C104F42-6FA8-4EA4-AAA8-589D3C2D949A}"/>
    <hyperlink ref="H1" location="'Structure Groups'!A1" display="STRUCTURE GROUPS" xr:uid="{9A9E7A0B-FA22-4EF8-AF9D-2AC7DF3704BD}"/>
    <hyperlink ref="C1" location="'Staking Table'!A1" display="STAKING TABLE" xr:uid="{FC021370-C575-4131-BBB9-74290ECD4EE6}"/>
    <hyperlink ref="K1" location="'Load Criteria'!A1" display="LOAD CRITERIA" xr:uid="{DB7CDCE9-9805-4445-A8FD-AF367EF76B71}"/>
    <hyperlink ref="N1" location="'pls-cadd folders'!A1" display="PLS-CADD" xr:uid="{9A9CF5FA-9457-4D4F-9F9E-00302F1D021B}"/>
  </hyperlinks>
  <pageMargins left="0.70866141732283472" right="0.70866141732283472" top="0.74803149606299213" bottom="0.74803149606299213" header="0.31496062992125984" footer="0.31496062992125984"/>
  <pageSetup paperSize="9" scale="58" fitToHeight="2" orientation="landscape" horizontalDpi="4294967292" r:id="rId1"/>
  <headerFooter>
    <oddHeader>&amp;L&amp;G&amp;C&amp;"Arial,Bold"&amp;12WEATHER CASES&amp;RPage &amp;P of &amp;N</oddHeader>
    <oddFooter>&amp;LAD - TE Lines&amp;C&amp;F : &amp;A&amp;R&amp;D</oddFooter>
  </headerFooter>
  <legacyDrawing r:id="rId2"/>
  <legacyDrawingHF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3"/>
  <dimension ref="A1:M96"/>
  <sheetViews>
    <sheetView zoomScaleNormal="100" workbookViewId="0">
      <pane xSplit="2" ySplit="4" topLeftCell="C56" activePane="bottomRight" state="frozen"/>
      <selection pane="topRight" activeCell="J178" sqref="J178"/>
      <selection pane="bottomLeft" activeCell="J178" sqref="J178"/>
      <selection pane="bottomRight" activeCell="J178" sqref="J178"/>
    </sheetView>
  </sheetViews>
  <sheetFormatPr defaultRowHeight="12.75" x14ac:dyDescent="0.2"/>
  <cols>
    <col min="1" max="1" width="28.85546875" customWidth="1"/>
    <col min="2" max="2" width="10.7109375" customWidth="1"/>
    <col min="3" max="3" width="8.85546875" customWidth="1"/>
    <col min="4" max="4" width="9.28515625" bestFit="1" customWidth="1"/>
    <col min="5" max="6" width="9.28515625" customWidth="1"/>
    <col min="7" max="7" width="10.5703125" customWidth="1"/>
    <col min="8" max="8" width="9.28515625" customWidth="1"/>
    <col min="9" max="9" width="11.42578125" customWidth="1"/>
    <col min="10" max="12" width="8.85546875" customWidth="1"/>
    <col min="13" max="13" width="16" customWidth="1"/>
    <col min="14" max="14" width="29.7109375" customWidth="1"/>
    <col min="15" max="15" width="8.85546875" customWidth="1"/>
    <col min="17" max="17" width="10.140625" customWidth="1"/>
    <col min="21" max="21" width="11.5703125" bestFit="1" customWidth="1"/>
  </cols>
  <sheetData>
    <row r="1" spans="1:13" ht="15.6" customHeight="1" x14ac:dyDescent="0.25">
      <c r="A1" s="97" t="s">
        <v>1004</v>
      </c>
    </row>
    <row r="2" spans="1:13" ht="13.9" customHeight="1" thickBot="1" x14ac:dyDescent="0.25"/>
    <row r="3" spans="1:13" ht="25.5" x14ac:dyDescent="0.2">
      <c r="A3" s="98" t="s">
        <v>1005</v>
      </c>
      <c r="B3" s="100" t="s">
        <v>1006</v>
      </c>
      <c r="C3" s="100" t="s">
        <v>1007</v>
      </c>
      <c r="D3" s="100" t="s">
        <v>1008</v>
      </c>
      <c r="E3" s="99" t="s">
        <v>1009</v>
      </c>
      <c r="F3" s="100" t="s">
        <v>1010</v>
      </c>
      <c r="G3" s="100" t="s">
        <v>1011</v>
      </c>
      <c r="H3" s="100" t="s">
        <v>1012</v>
      </c>
      <c r="I3" s="101" t="s">
        <v>1013</v>
      </c>
      <c r="J3" s="99" t="s">
        <v>1014</v>
      </c>
      <c r="K3" s="99" t="s">
        <v>1015</v>
      </c>
      <c r="L3" s="102" t="s">
        <v>1016</v>
      </c>
      <c r="M3" s="315"/>
    </row>
    <row r="4" spans="1:13" ht="13.5" thickBot="1" x14ac:dyDescent="0.25">
      <c r="A4" s="103"/>
      <c r="B4" s="104"/>
      <c r="C4" s="104" t="s">
        <v>1017</v>
      </c>
      <c r="D4" s="104" t="s">
        <v>1018</v>
      </c>
      <c r="E4" s="104" t="s">
        <v>1019</v>
      </c>
      <c r="F4" s="104" t="s">
        <v>1020</v>
      </c>
      <c r="G4" s="104" t="s">
        <v>1021</v>
      </c>
      <c r="H4" s="105" t="s">
        <v>1022</v>
      </c>
      <c r="I4" s="104" t="s">
        <v>1023</v>
      </c>
      <c r="J4" s="106" t="s">
        <v>1019</v>
      </c>
      <c r="K4" s="104" t="s">
        <v>1024</v>
      </c>
      <c r="L4" s="107" t="s">
        <v>1025</v>
      </c>
    </row>
    <row r="5" spans="1:13" x14ac:dyDescent="0.2">
      <c r="A5" s="121" t="s">
        <v>1026</v>
      </c>
      <c r="B5" s="108"/>
      <c r="C5" s="109"/>
      <c r="D5" s="269">
        <v>9.9999999999999995E-8</v>
      </c>
      <c r="E5" s="269">
        <v>9.9999999999999995E-8</v>
      </c>
      <c r="F5" s="269">
        <v>9.9999999999999995E-8</v>
      </c>
      <c r="G5" s="269">
        <v>9.9999999999999995E-8</v>
      </c>
      <c r="H5" s="269">
        <v>9.9999999999999995E-8</v>
      </c>
      <c r="I5" s="269">
        <v>9.9999999999999995E-8</v>
      </c>
      <c r="J5" s="109"/>
      <c r="K5" s="110"/>
      <c r="L5" s="111"/>
    </row>
    <row r="6" spans="1:13" x14ac:dyDescent="0.2">
      <c r="A6" s="262" t="s">
        <v>620</v>
      </c>
      <c r="B6" s="263"/>
      <c r="C6" s="264"/>
      <c r="D6" s="269">
        <v>9.9999999999999995E-8</v>
      </c>
      <c r="E6" s="265"/>
      <c r="F6" s="265"/>
      <c r="G6" s="265"/>
      <c r="H6" s="265"/>
      <c r="I6" s="266"/>
      <c r="J6" s="264"/>
      <c r="K6" s="267"/>
      <c r="L6" s="268"/>
    </row>
    <row r="7" spans="1:13" x14ac:dyDescent="0.2">
      <c r="A7" s="112" t="s">
        <v>1027</v>
      </c>
      <c r="B7" s="91" t="s">
        <v>1028</v>
      </c>
      <c r="C7" s="90"/>
      <c r="D7" s="92">
        <v>14.35</v>
      </c>
      <c r="E7" s="92">
        <v>9.64</v>
      </c>
      <c r="F7" s="92">
        <v>122.92</v>
      </c>
      <c r="G7" s="92">
        <v>162.245</v>
      </c>
      <c r="H7" s="93">
        <v>189.60599999999999</v>
      </c>
      <c r="I7" s="94">
        <v>1.15E-5</v>
      </c>
      <c r="J7" s="90"/>
      <c r="K7" s="95"/>
      <c r="L7" s="113">
        <v>0</v>
      </c>
    </row>
    <row r="8" spans="1:13" x14ac:dyDescent="0.2">
      <c r="A8" s="112" t="s">
        <v>1029</v>
      </c>
      <c r="B8" s="91" t="s">
        <v>1030</v>
      </c>
      <c r="C8" s="90"/>
      <c r="D8" s="92">
        <v>16.3</v>
      </c>
      <c r="E8" s="92">
        <v>10.433606424305971</v>
      </c>
      <c r="F8" s="92">
        <v>158.59105290513168</v>
      </c>
      <c r="G8" s="92">
        <v>191.26080980358881</v>
      </c>
      <c r="H8" s="93">
        <v>154.5915195600823</v>
      </c>
      <c r="I8" s="94">
        <v>1.2899999999999998E-5</v>
      </c>
      <c r="J8" s="90"/>
      <c r="K8" s="95"/>
      <c r="L8" s="113">
        <v>0</v>
      </c>
    </row>
    <row r="9" spans="1:13" x14ac:dyDescent="0.2">
      <c r="A9" s="112" t="s">
        <v>1031</v>
      </c>
      <c r="B9" s="90" t="s">
        <v>1030</v>
      </c>
      <c r="C9" s="90"/>
      <c r="D9" s="90">
        <v>16.3</v>
      </c>
      <c r="E9" s="95">
        <v>10.441233738545971</v>
      </c>
      <c r="F9" s="95">
        <v>158.59105290513168</v>
      </c>
      <c r="G9" s="95">
        <v>191.26080980358881</v>
      </c>
      <c r="H9" s="95">
        <v>154.5915195600823</v>
      </c>
      <c r="I9" s="94">
        <v>1.2899999999999998E-5</v>
      </c>
      <c r="J9" s="90"/>
      <c r="K9" s="95"/>
      <c r="L9" s="113">
        <v>0</v>
      </c>
    </row>
    <row r="10" spans="1:13" x14ac:dyDescent="0.2">
      <c r="A10" s="112" t="s">
        <v>1032</v>
      </c>
      <c r="B10" s="91" t="s">
        <v>1030</v>
      </c>
      <c r="C10" s="90"/>
      <c r="D10" s="92">
        <v>7.77</v>
      </c>
      <c r="E10" s="92">
        <v>2.5028085212058118</v>
      </c>
      <c r="F10" s="92">
        <v>36.879705939204953</v>
      </c>
      <c r="G10" s="92">
        <v>44.476925362681179</v>
      </c>
      <c r="H10" s="93">
        <v>156.7640659454228</v>
      </c>
      <c r="I10" s="94">
        <v>1.2899999999999998E-5</v>
      </c>
      <c r="J10" s="90"/>
      <c r="K10" s="95"/>
      <c r="L10" s="113">
        <v>0</v>
      </c>
    </row>
    <row r="11" spans="1:13" x14ac:dyDescent="0.2">
      <c r="A11" s="112" t="s">
        <v>1033</v>
      </c>
      <c r="B11" s="90" t="s">
        <v>1030</v>
      </c>
      <c r="C11" s="90"/>
      <c r="D11" s="90">
        <v>7.77</v>
      </c>
      <c r="E11" s="95">
        <v>2.5028085212058118</v>
      </c>
      <c r="F11" s="95">
        <v>36.879705939204953</v>
      </c>
      <c r="G11" s="95">
        <v>44.476925362681179</v>
      </c>
      <c r="H11" s="95">
        <v>156.7640659454228</v>
      </c>
      <c r="I11" s="94">
        <v>1.2899999999999998E-5</v>
      </c>
      <c r="J11" s="90"/>
      <c r="K11" s="95"/>
      <c r="L11" s="113">
        <v>0</v>
      </c>
    </row>
    <row r="12" spans="1:13" x14ac:dyDescent="0.2">
      <c r="A12" s="112" t="s">
        <v>1034</v>
      </c>
      <c r="B12" s="91" t="s">
        <v>1028</v>
      </c>
      <c r="C12" s="90"/>
      <c r="D12" s="92">
        <v>7.7723999999999993</v>
      </c>
      <c r="E12" s="92">
        <v>2.891671968548291</v>
      </c>
      <c r="F12" s="92">
        <v>36.902506840000001</v>
      </c>
      <c r="G12" s="92">
        <v>47.862868720000002</v>
      </c>
      <c r="H12" s="93">
        <v>189.6058175</v>
      </c>
      <c r="I12" s="94">
        <v>1.152E-5</v>
      </c>
      <c r="J12" s="90"/>
      <c r="K12" s="95"/>
      <c r="L12" s="113">
        <v>0</v>
      </c>
    </row>
    <row r="13" spans="1:13" x14ac:dyDescent="0.2">
      <c r="A13" s="112" t="s">
        <v>1035</v>
      </c>
      <c r="B13" s="91" t="s">
        <v>1028</v>
      </c>
      <c r="C13" s="90"/>
      <c r="D13" s="92">
        <v>7.9247999999999994</v>
      </c>
      <c r="E13" s="92">
        <v>3.0096625583586309</v>
      </c>
      <c r="F13" s="92">
        <v>38.363794239999997</v>
      </c>
      <c r="G13" s="92">
        <v>49.820086400000001</v>
      </c>
      <c r="H13" s="93">
        <v>189.6058175</v>
      </c>
      <c r="I13" s="94">
        <v>1.152E-5</v>
      </c>
      <c r="J13" s="90"/>
      <c r="K13" s="95"/>
      <c r="L13" s="113">
        <v>0</v>
      </c>
    </row>
    <row r="14" spans="1:13" x14ac:dyDescent="0.2">
      <c r="A14" s="112" t="s">
        <v>1036</v>
      </c>
      <c r="B14" s="91" t="s">
        <v>1030</v>
      </c>
      <c r="C14" s="90"/>
      <c r="D14" s="92">
        <v>9.15</v>
      </c>
      <c r="E14" s="92">
        <v>3.4291265165690832</v>
      </c>
      <c r="F14" s="92">
        <v>51.143164905033331</v>
      </c>
      <c r="G14" s="92">
        <v>61.678656875470196</v>
      </c>
      <c r="H14" s="93">
        <v>156.7640659454228</v>
      </c>
      <c r="I14" s="94">
        <v>1.2899999999999998E-5</v>
      </c>
      <c r="J14" s="90"/>
      <c r="K14" s="95"/>
      <c r="L14" s="113">
        <v>0</v>
      </c>
    </row>
    <row r="15" spans="1:13" x14ac:dyDescent="0.2">
      <c r="A15" s="112" t="s">
        <v>1037</v>
      </c>
      <c r="B15" s="90" t="s">
        <v>1030</v>
      </c>
      <c r="C15" s="90"/>
      <c r="D15" s="90">
        <v>9.15</v>
      </c>
      <c r="E15" s="95">
        <v>3.4291265165690832</v>
      </c>
      <c r="F15" s="95">
        <v>51.143164905033331</v>
      </c>
      <c r="G15" s="95">
        <v>61.678656875470196</v>
      </c>
      <c r="H15" s="95">
        <v>156.7640659454228</v>
      </c>
      <c r="I15" s="94">
        <v>1.2899999999999998E-5</v>
      </c>
      <c r="J15" s="90"/>
      <c r="K15" s="95"/>
      <c r="L15" s="113">
        <v>0</v>
      </c>
    </row>
    <row r="16" spans="1:13" x14ac:dyDescent="0.2">
      <c r="A16" s="112" t="s">
        <v>1038</v>
      </c>
      <c r="B16" s="91" t="s">
        <v>1028</v>
      </c>
      <c r="C16" s="90"/>
      <c r="D16" s="92">
        <v>9.1439999999999984</v>
      </c>
      <c r="E16" s="92">
        <v>3.9982224131138655</v>
      </c>
      <c r="F16" s="92">
        <v>51.076026880000001</v>
      </c>
      <c r="G16" s="92">
        <v>68.502618799999993</v>
      </c>
      <c r="H16" s="93">
        <v>189.6058175</v>
      </c>
      <c r="I16" s="94">
        <v>1.152E-5</v>
      </c>
      <c r="J16" s="90"/>
      <c r="K16" s="95"/>
      <c r="L16" s="113">
        <v>0</v>
      </c>
    </row>
    <row r="17" spans="1:12" x14ac:dyDescent="0.2">
      <c r="A17" s="112" t="s">
        <v>1039</v>
      </c>
      <c r="B17" s="91" t="s">
        <v>1030</v>
      </c>
      <c r="C17" s="90"/>
      <c r="D17" s="92">
        <v>9.5399999999999991</v>
      </c>
      <c r="E17" s="92">
        <v>3.7182974017235377</v>
      </c>
      <c r="F17" s="92">
        <v>55.595822712782493</v>
      </c>
      <c r="G17" s="92">
        <v>67.048562191615687</v>
      </c>
      <c r="H17" s="93">
        <v>156.7640659454228</v>
      </c>
      <c r="I17" s="94">
        <v>1.2899999999999998E-5</v>
      </c>
      <c r="J17" s="90"/>
      <c r="K17" s="95"/>
      <c r="L17" s="113">
        <v>0</v>
      </c>
    </row>
    <row r="18" spans="1:12" x14ac:dyDescent="0.2">
      <c r="A18" s="112" t="s">
        <v>1040</v>
      </c>
      <c r="B18" s="90" t="s">
        <v>1030</v>
      </c>
      <c r="C18" s="90"/>
      <c r="D18" s="90">
        <v>9.5399999999999991</v>
      </c>
      <c r="E18" s="95">
        <v>3.7182974017235377</v>
      </c>
      <c r="F18" s="95">
        <v>55.595822712782493</v>
      </c>
      <c r="G18" s="95">
        <v>67.048562191615687</v>
      </c>
      <c r="H18" s="95">
        <v>156.7640659454228</v>
      </c>
      <c r="I18" s="94">
        <v>1.2899999999999998E-5</v>
      </c>
      <c r="J18" s="90"/>
      <c r="K18" s="95"/>
      <c r="L18" s="113">
        <v>0</v>
      </c>
    </row>
    <row r="19" spans="1:12" x14ac:dyDescent="0.2">
      <c r="A19" s="112" t="s">
        <v>1041</v>
      </c>
      <c r="B19" s="91" t="s">
        <v>1028</v>
      </c>
      <c r="C19" s="90"/>
      <c r="D19" s="92">
        <v>9.5250000000000004</v>
      </c>
      <c r="E19" s="92">
        <v>4.3375632684537404</v>
      </c>
      <c r="F19" s="92">
        <v>55.421179479999992</v>
      </c>
      <c r="G19" s="92">
        <v>68.769512120000002</v>
      </c>
      <c r="H19" s="93">
        <v>189.6058175</v>
      </c>
      <c r="I19" s="94">
        <v>1.152E-5</v>
      </c>
      <c r="J19" s="90"/>
      <c r="K19" s="95"/>
      <c r="L19" s="113">
        <v>0</v>
      </c>
    </row>
    <row r="20" spans="1:12" x14ac:dyDescent="0.2">
      <c r="A20" s="112" t="s">
        <v>1042</v>
      </c>
      <c r="B20" s="91" t="s">
        <v>1028</v>
      </c>
      <c r="C20" s="90"/>
      <c r="D20" s="92">
        <v>11.048999999999999</v>
      </c>
      <c r="E20" s="92">
        <v>5.8350718122149434</v>
      </c>
      <c r="F20" s="92">
        <v>74.574044399999991</v>
      </c>
      <c r="G20" s="92">
        <v>92.523017600000003</v>
      </c>
      <c r="H20" s="93">
        <v>189.6058175</v>
      </c>
      <c r="I20" s="94">
        <v>1.152E-5</v>
      </c>
      <c r="J20" s="90"/>
      <c r="K20" s="95"/>
      <c r="L20" s="113">
        <v>0</v>
      </c>
    </row>
    <row r="21" spans="1:12" x14ac:dyDescent="0.2">
      <c r="A21" s="112" t="s">
        <v>1043</v>
      </c>
      <c r="B21" s="91" t="s">
        <v>1030</v>
      </c>
      <c r="C21" s="90"/>
      <c r="D21" s="92">
        <v>11.13</v>
      </c>
      <c r="E21" s="92">
        <v>5.0221192579014806</v>
      </c>
      <c r="F21" s="92">
        <v>75.672092025731715</v>
      </c>
      <c r="G21" s="92">
        <v>91.260542983032437</v>
      </c>
      <c r="H21" s="93">
        <v>156.7640659454228</v>
      </c>
      <c r="I21" s="94">
        <v>1.2899999999999998E-5</v>
      </c>
      <c r="J21" s="90"/>
      <c r="K21" s="95"/>
      <c r="L21" s="113">
        <v>0</v>
      </c>
    </row>
    <row r="22" spans="1:12" x14ac:dyDescent="0.2">
      <c r="A22" s="112" t="s">
        <v>1044</v>
      </c>
      <c r="B22" s="90" t="s">
        <v>1030</v>
      </c>
      <c r="C22" s="90"/>
      <c r="D22" s="90">
        <v>11.13</v>
      </c>
      <c r="E22" s="95">
        <v>5.0221192579014806</v>
      </c>
      <c r="F22" s="95">
        <v>75.672092025731715</v>
      </c>
      <c r="G22" s="95">
        <v>91.260542983032437</v>
      </c>
      <c r="H22" s="95">
        <v>156.7640659454228</v>
      </c>
      <c r="I22" s="94">
        <v>1.2899999999999998E-5</v>
      </c>
      <c r="J22" s="90"/>
      <c r="K22" s="95"/>
      <c r="L22" s="113">
        <v>0</v>
      </c>
    </row>
    <row r="23" spans="1:12" x14ac:dyDescent="0.2">
      <c r="A23" s="112" t="s">
        <v>1045</v>
      </c>
      <c r="B23" s="91" t="s">
        <v>1028</v>
      </c>
      <c r="C23" s="90"/>
      <c r="D23" s="92">
        <v>11.1252</v>
      </c>
      <c r="E23" s="92">
        <v>5.9162129056644259</v>
      </c>
      <c r="F23" s="92">
        <v>75.60694556</v>
      </c>
      <c r="G23" s="92">
        <v>93.857484200000002</v>
      </c>
      <c r="H23" s="93">
        <v>189.6058175</v>
      </c>
      <c r="I23" s="94">
        <v>1.152E-5</v>
      </c>
      <c r="J23" s="90"/>
      <c r="K23" s="95"/>
      <c r="L23" s="113">
        <v>0</v>
      </c>
    </row>
    <row r="24" spans="1:12" x14ac:dyDescent="0.2">
      <c r="A24" s="112" t="s">
        <v>1046</v>
      </c>
      <c r="B24" s="91" t="s">
        <v>1030</v>
      </c>
      <c r="C24" s="90"/>
      <c r="D24" s="92">
        <v>12.75</v>
      </c>
      <c r="E24" s="92">
        <v>6.5568078000000005</v>
      </c>
      <c r="F24" s="92">
        <v>99.3</v>
      </c>
      <c r="G24" s="92">
        <v>119.76</v>
      </c>
      <c r="H24" s="93">
        <v>156.7640659454228</v>
      </c>
      <c r="I24" s="94">
        <v>1.2899999999999998E-5</v>
      </c>
      <c r="J24" s="90"/>
      <c r="K24" s="95"/>
      <c r="L24" s="113">
        <v>0</v>
      </c>
    </row>
    <row r="25" spans="1:12" x14ac:dyDescent="0.2">
      <c r="A25" s="112" t="s">
        <v>1047</v>
      </c>
      <c r="B25" s="90" t="s">
        <v>1030</v>
      </c>
      <c r="C25" s="90"/>
      <c r="D25" s="90">
        <v>12.75</v>
      </c>
      <c r="E25" s="95">
        <v>6.5568078000000005</v>
      </c>
      <c r="F25" s="95">
        <v>99.3</v>
      </c>
      <c r="G25" s="95">
        <v>119.76</v>
      </c>
      <c r="H25" s="95">
        <v>156.7640659454228</v>
      </c>
      <c r="I25" s="94">
        <v>1.2899999999999998E-5</v>
      </c>
      <c r="J25" s="90"/>
      <c r="K25" s="95"/>
      <c r="L25" s="113">
        <v>0</v>
      </c>
    </row>
    <row r="26" spans="1:12" x14ac:dyDescent="0.2">
      <c r="A26" s="112" t="s">
        <v>1048</v>
      </c>
      <c r="B26" s="90" t="s">
        <v>1049</v>
      </c>
      <c r="C26" s="90"/>
      <c r="D26" s="90">
        <v>26.46</v>
      </c>
      <c r="E26" s="95">
        <v>11.620097384091769</v>
      </c>
      <c r="F26" s="95">
        <v>415.21707536185966</v>
      </c>
      <c r="G26" s="95">
        <v>63.112995455002668</v>
      </c>
      <c r="H26" s="95">
        <v>64.082284869200294</v>
      </c>
      <c r="I26" s="94">
        <v>2.3E-5</v>
      </c>
      <c r="J26" s="90"/>
      <c r="K26" s="95"/>
      <c r="L26" s="113">
        <v>23</v>
      </c>
    </row>
    <row r="27" spans="1:12" x14ac:dyDescent="0.2">
      <c r="A27" s="112" t="s">
        <v>1050</v>
      </c>
      <c r="B27" s="90" t="s">
        <v>1051</v>
      </c>
      <c r="C27" s="90"/>
      <c r="D27" s="90">
        <v>40.68</v>
      </c>
      <c r="E27" s="95">
        <v>31.789836701999999</v>
      </c>
      <c r="F27" s="95">
        <v>968.09646314935037</v>
      </c>
      <c r="G27" s="95">
        <v>227.6</v>
      </c>
      <c r="H27" s="95">
        <v>68.947569999999999</v>
      </c>
      <c r="I27" s="94">
        <v>1.98E-5</v>
      </c>
      <c r="J27" s="90"/>
      <c r="K27" s="95"/>
      <c r="L27" s="113">
        <v>23</v>
      </c>
    </row>
    <row r="28" spans="1:12" x14ac:dyDescent="0.2">
      <c r="A28" s="112" t="s">
        <v>1052</v>
      </c>
      <c r="B28" s="90" t="s">
        <v>1051</v>
      </c>
      <c r="C28" s="90"/>
      <c r="D28" s="90">
        <v>40.68</v>
      </c>
      <c r="E28" s="95">
        <v>31.789836701999999</v>
      </c>
      <c r="F28" s="95">
        <v>975.8</v>
      </c>
      <c r="G28" s="95">
        <v>227.37542800000003</v>
      </c>
      <c r="H28" s="95">
        <v>68.947569999999999</v>
      </c>
      <c r="I28" s="94">
        <v>1.98E-5</v>
      </c>
      <c r="J28" s="90"/>
      <c r="K28" s="95"/>
      <c r="L28" s="113">
        <v>23</v>
      </c>
    </row>
    <row r="29" spans="1:12" x14ac:dyDescent="0.2">
      <c r="A29" s="112" t="s">
        <v>1053</v>
      </c>
      <c r="B29" s="90" t="s">
        <v>1054</v>
      </c>
      <c r="C29" s="90"/>
      <c r="D29" s="90">
        <v>40.729999999999997</v>
      </c>
      <c r="E29" s="95">
        <v>30.846710834620218</v>
      </c>
      <c r="F29" s="95">
        <v>978.84856400626143</v>
      </c>
      <c r="G29" s="95">
        <v>214.99681666731394</v>
      </c>
      <c r="H29" s="95">
        <v>69.857480871326601</v>
      </c>
      <c r="I29" s="94">
        <v>2.1319445126367674E-5</v>
      </c>
      <c r="J29" s="90"/>
      <c r="K29" s="95"/>
      <c r="L29" s="113">
        <v>30</v>
      </c>
    </row>
    <row r="30" spans="1:12" x14ac:dyDescent="0.2">
      <c r="A30" s="112" t="s">
        <v>1055</v>
      </c>
      <c r="B30" s="90" t="s">
        <v>1051</v>
      </c>
      <c r="C30" s="90"/>
      <c r="D30" s="90">
        <v>40.700000000000003</v>
      </c>
      <c r="E30" s="95">
        <v>31.68550687131</v>
      </c>
      <c r="F30" s="95">
        <v>978.8</v>
      </c>
      <c r="G30" s="95">
        <v>233</v>
      </c>
      <c r="H30" s="95">
        <v>66.5</v>
      </c>
      <c r="I30" s="94">
        <v>2.0699999999999998E-5</v>
      </c>
      <c r="J30" s="90"/>
      <c r="K30" s="95"/>
      <c r="L30" s="113">
        <v>23</v>
      </c>
    </row>
    <row r="31" spans="1:12" x14ac:dyDescent="0.2">
      <c r="A31" s="112" t="s">
        <v>1056</v>
      </c>
      <c r="B31" s="90" t="s">
        <v>1049</v>
      </c>
      <c r="C31" s="90"/>
      <c r="D31" s="90">
        <v>32.549999999999997</v>
      </c>
      <c r="E31" s="95">
        <v>17.584582996523356</v>
      </c>
      <c r="F31" s="95">
        <v>628.34405615826904</v>
      </c>
      <c r="G31" s="95">
        <v>95.508296536056889</v>
      </c>
      <c r="H31" s="95">
        <v>64.082284869200294</v>
      </c>
      <c r="I31" s="94">
        <v>2.3E-5</v>
      </c>
      <c r="J31" s="90"/>
      <c r="K31" s="95"/>
      <c r="L31" s="113">
        <v>23</v>
      </c>
    </row>
    <row r="32" spans="1:12" x14ac:dyDescent="0.2">
      <c r="A32" s="112" t="s">
        <v>1057</v>
      </c>
      <c r="B32" s="90" t="s">
        <v>1049</v>
      </c>
      <c r="C32" s="90"/>
      <c r="D32" s="90">
        <v>21.1</v>
      </c>
      <c r="E32" s="95">
        <v>7.3325116071177092</v>
      </c>
      <c r="F32" s="95">
        <v>265.74700840789524</v>
      </c>
      <c r="G32" s="95">
        <v>40.393545278000069</v>
      </c>
      <c r="H32" s="95">
        <v>64.511847888274303</v>
      </c>
      <c r="I32" s="94">
        <v>2.3E-5</v>
      </c>
      <c r="J32" s="90"/>
      <c r="K32" s="95"/>
      <c r="L32" s="113">
        <v>23</v>
      </c>
    </row>
    <row r="33" spans="1:12" x14ac:dyDescent="0.2">
      <c r="A33" s="112" t="s">
        <v>1058</v>
      </c>
      <c r="B33" s="90" t="s">
        <v>1054</v>
      </c>
      <c r="C33" s="90"/>
      <c r="D33" s="90">
        <v>15.89</v>
      </c>
      <c r="E33" s="95">
        <v>4.974910654853181</v>
      </c>
      <c r="F33" s="95">
        <v>151.80042184458102</v>
      </c>
      <c r="G33" s="95">
        <v>46.848070063993433</v>
      </c>
      <c r="H33" s="95">
        <v>74.846031169009066</v>
      </c>
      <c r="I33" s="94">
        <v>2.0311835383851208E-5</v>
      </c>
      <c r="J33" s="90"/>
      <c r="K33" s="95"/>
      <c r="L33" s="113">
        <v>30</v>
      </c>
    </row>
    <row r="34" spans="1:12" x14ac:dyDescent="0.2">
      <c r="A34" s="112" t="s">
        <v>618</v>
      </c>
      <c r="B34" s="90" t="s">
        <v>1051</v>
      </c>
      <c r="C34" s="90"/>
      <c r="D34" s="90">
        <v>15.89</v>
      </c>
      <c r="E34" s="95">
        <v>5.3242979605200009</v>
      </c>
      <c r="F34" s="95">
        <v>151.80000000000001</v>
      </c>
      <c r="G34" s="95">
        <v>46.3</v>
      </c>
      <c r="H34" s="95">
        <v>75</v>
      </c>
      <c r="I34" s="94">
        <v>1.8899999999999999E-5</v>
      </c>
      <c r="J34" s="90"/>
      <c r="K34" s="95"/>
      <c r="L34" s="113">
        <v>14</v>
      </c>
    </row>
    <row r="35" spans="1:12" x14ac:dyDescent="0.2">
      <c r="A35" s="112" t="s">
        <v>1059</v>
      </c>
      <c r="B35" s="90" t="s">
        <v>1054</v>
      </c>
      <c r="C35" s="90"/>
      <c r="D35" s="90">
        <v>17.5</v>
      </c>
      <c r="E35" s="95">
        <v>6.3268907414034903</v>
      </c>
      <c r="F35" s="95">
        <v>181.62332528565992</v>
      </c>
      <c r="G35" s="95">
        <v>66.768661365825579</v>
      </c>
      <c r="H35" s="95">
        <v>80.446595110290531</v>
      </c>
      <c r="I35" s="94">
        <v>1.939149338374291E-5</v>
      </c>
      <c r="J35" s="90"/>
      <c r="K35" s="95"/>
      <c r="L35" s="113">
        <v>30</v>
      </c>
    </row>
    <row r="36" spans="1:12" x14ac:dyDescent="0.2">
      <c r="A36" s="112" t="s">
        <v>1060</v>
      </c>
      <c r="B36" s="91" t="s">
        <v>1061</v>
      </c>
      <c r="C36" s="90"/>
      <c r="D36" s="92">
        <v>11.68</v>
      </c>
      <c r="E36" s="92">
        <v>7.2037773000000005</v>
      </c>
      <c r="F36" s="92">
        <v>80.37</v>
      </c>
      <c r="G36" s="92">
        <v>33.590000000000003</v>
      </c>
      <c r="H36" s="93">
        <v>124</v>
      </c>
      <c r="I36" s="94">
        <v>1.7E-5</v>
      </c>
      <c r="J36" s="90"/>
      <c r="K36" s="95"/>
      <c r="L36" s="113"/>
    </row>
    <row r="37" spans="1:12" x14ac:dyDescent="0.2">
      <c r="A37" s="112" t="s">
        <v>1062</v>
      </c>
      <c r="B37" s="91" t="s">
        <v>1061</v>
      </c>
      <c r="C37" s="90"/>
      <c r="D37" s="92">
        <v>12.83</v>
      </c>
      <c r="E37" s="92">
        <v>8.6821442999999991</v>
      </c>
      <c r="F37" s="92">
        <v>96.87</v>
      </c>
      <c r="G37" s="92">
        <v>40.35</v>
      </c>
      <c r="H37" s="93">
        <v>124</v>
      </c>
      <c r="I37" s="94">
        <v>1.7E-5</v>
      </c>
      <c r="J37" s="90"/>
      <c r="K37" s="95"/>
      <c r="L37" s="113"/>
    </row>
    <row r="38" spans="1:12" x14ac:dyDescent="0.2">
      <c r="A38" s="112" t="s">
        <v>1063</v>
      </c>
      <c r="B38" s="91" t="s">
        <v>1061</v>
      </c>
      <c r="C38" s="90"/>
      <c r="D38" s="92">
        <v>12.81</v>
      </c>
      <c r="E38" s="92">
        <v>8.6546763000000002</v>
      </c>
      <c r="F38" s="92">
        <v>94.4</v>
      </c>
      <c r="G38" s="92">
        <v>40.15</v>
      </c>
      <c r="H38" s="93">
        <v>124</v>
      </c>
      <c r="I38" s="94">
        <v>1.7E-5</v>
      </c>
      <c r="J38" s="90"/>
      <c r="K38" s="95"/>
      <c r="L38" s="113"/>
    </row>
    <row r="39" spans="1:12" x14ac:dyDescent="0.2">
      <c r="A39" s="112" t="s">
        <v>1064</v>
      </c>
      <c r="B39" s="91" t="s">
        <v>1061</v>
      </c>
      <c r="C39" s="90"/>
      <c r="D39" s="92">
        <v>18.309999999999999</v>
      </c>
      <c r="E39" s="92">
        <v>17.688410999999999</v>
      </c>
      <c r="F39" s="92">
        <v>194.98</v>
      </c>
      <c r="G39" s="92">
        <v>81.209999999999994</v>
      </c>
      <c r="H39" s="93">
        <v>124</v>
      </c>
      <c r="I39" s="94">
        <v>1.7E-5</v>
      </c>
      <c r="J39" s="90"/>
      <c r="K39" s="95"/>
      <c r="L39" s="113"/>
    </row>
    <row r="40" spans="1:12" x14ac:dyDescent="0.2">
      <c r="A40" s="112" t="s">
        <v>1065</v>
      </c>
      <c r="B40" s="91" t="s">
        <v>1061</v>
      </c>
      <c r="C40" s="90"/>
      <c r="D40" s="92">
        <v>7.92</v>
      </c>
      <c r="E40" s="92">
        <v>3.3734628000000004</v>
      </c>
      <c r="F40" s="92">
        <v>38.034999999999997</v>
      </c>
      <c r="G40" s="92">
        <v>16.13</v>
      </c>
      <c r="H40" s="93">
        <v>124</v>
      </c>
      <c r="I40" s="94">
        <v>1.7E-5</v>
      </c>
      <c r="J40" s="90"/>
      <c r="K40" s="95"/>
      <c r="L40" s="113"/>
    </row>
    <row r="41" spans="1:12" x14ac:dyDescent="0.2">
      <c r="A41" s="112" t="s">
        <v>1066</v>
      </c>
      <c r="B41" s="91" t="s">
        <v>1061</v>
      </c>
      <c r="C41" s="90"/>
      <c r="D41" s="92">
        <v>10.36</v>
      </c>
      <c r="E41" s="92">
        <v>5.7688685999999993</v>
      </c>
      <c r="F41" s="92">
        <v>65.06</v>
      </c>
      <c r="G41" s="92">
        <v>26.73</v>
      </c>
      <c r="H41" s="93">
        <v>124</v>
      </c>
      <c r="I41" s="94">
        <v>1.7E-5</v>
      </c>
      <c r="J41" s="90"/>
      <c r="K41" s="95"/>
      <c r="L41" s="113"/>
    </row>
    <row r="42" spans="1:12" x14ac:dyDescent="0.2">
      <c r="A42" s="112" t="s">
        <v>1067</v>
      </c>
      <c r="B42" s="90" t="s">
        <v>1054</v>
      </c>
      <c r="C42" s="90"/>
      <c r="D42" s="90">
        <v>14.15</v>
      </c>
      <c r="E42" s="95">
        <v>3.7873450592014688</v>
      </c>
      <c r="F42" s="95">
        <v>118.53598219131084</v>
      </c>
      <c r="G42" s="95">
        <v>33.035636989070326</v>
      </c>
      <c r="H42" s="95">
        <v>72.800462062835933</v>
      </c>
      <c r="I42" s="94">
        <v>2.0624568849119492E-5</v>
      </c>
      <c r="J42" s="90"/>
      <c r="K42" s="95"/>
      <c r="L42" s="113">
        <v>30</v>
      </c>
    </row>
    <row r="43" spans="1:12" x14ac:dyDescent="0.2">
      <c r="A43" s="112" t="s">
        <v>1068</v>
      </c>
      <c r="B43" s="90" t="s">
        <v>1051</v>
      </c>
      <c r="C43" s="90"/>
      <c r="D43" s="90">
        <v>14.15</v>
      </c>
      <c r="E43" s="95">
        <v>3.9632400000000003</v>
      </c>
      <c r="F43" s="95">
        <v>118.5</v>
      </c>
      <c r="G43" s="95">
        <v>32.700000000000003</v>
      </c>
      <c r="H43" s="95">
        <v>76</v>
      </c>
      <c r="I43" s="94">
        <v>1.98E-5</v>
      </c>
      <c r="J43" s="90"/>
      <c r="K43" s="95"/>
      <c r="L43" s="113">
        <v>17</v>
      </c>
    </row>
    <row r="44" spans="1:12" x14ac:dyDescent="0.2">
      <c r="A44" s="112" t="s">
        <v>1069</v>
      </c>
      <c r="B44" s="90" t="s">
        <v>1054</v>
      </c>
      <c r="C44" s="90"/>
      <c r="D44" s="90">
        <v>25.97</v>
      </c>
      <c r="E44" s="95">
        <v>13.965308034267482</v>
      </c>
      <c r="F44" s="95">
        <v>399.98105785029622</v>
      </c>
      <c r="G44" s="95">
        <v>135.3557520363124</v>
      </c>
      <c r="H44" s="95">
        <v>80.446595110290531</v>
      </c>
      <c r="I44" s="94">
        <v>1.9391493383742913E-5</v>
      </c>
      <c r="J44" s="90"/>
      <c r="K44" s="95"/>
      <c r="L44" s="113">
        <v>30</v>
      </c>
    </row>
    <row r="45" spans="1:12" x14ac:dyDescent="0.2">
      <c r="A45" s="114" t="s">
        <v>1070</v>
      </c>
      <c r="B45" s="90" t="s">
        <v>1051</v>
      </c>
      <c r="C45" s="90"/>
      <c r="D45" s="90">
        <v>25.97</v>
      </c>
      <c r="E45" s="95">
        <v>14.994614106269999</v>
      </c>
      <c r="F45" s="95">
        <v>400</v>
      </c>
      <c r="G45" s="95">
        <v>135.80000000000001</v>
      </c>
      <c r="H45" s="95">
        <v>80</v>
      </c>
      <c r="I45" s="94">
        <v>1.7799999999999999E-5</v>
      </c>
      <c r="J45" s="90"/>
      <c r="K45" s="95"/>
      <c r="L45" s="113">
        <v>14</v>
      </c>
    </row>
    <row r="46" spans="1:12" x14ac:dyDescent="0.2">
      <c r="A46" s="112" t="s">
        <v>1071</v>
      </c>
      <c r="B46" s="90" t="s">
        <v>1054</v>
      </c>
      <c r="C46" s="90"/>
      <c r="D46" s="90">
        <v>14.16</v>
      </c>
      <c r="E46" s="95">
        <v>4.0617833128660834</v>
      </c>
      <c r="F46" s="95">
        <v>122.48190110403596</v>
      </c>
      <c r="G46" s="95">
        <v>39.159213524404635</v>
      </c>
      <c r="H46" s="95">
        <v>75.911582693508706</v>
      </c>
      <c r="I46" s="94">
        <v>2.0129473684210528E-5</v>
      </c>
      <c r="J46" s="90"/>
      <c r="K46" s="95"/>
      <c r="L46" s="113">
        <v>30</v>
      </c>
    </row>
    <row r="47" spans="1:12" x14ac:dyDescent="0.2">
      <c r="A47" s="112" t="s">
        <v>1072</v>
      </c>
      <c r="B47" s="90" t="s">
        <v>1051</v>
      </c>
      <c r="C47" s="90"/>
      <c r="D47" s="90">
        <v>14.16</v>
      </c>
      <c r="E47" s="95">
        <v>4.2697835078400006</v>
      </c>
      <c r="F47" s="95">
        <v>122.5</v>
      </c>
      <c r="G47" s="95">
        <v>36</v>
      </c>
      <c r="H47" s="95">
        <v>80</v>
      </c>
      <c r="I47" s="94">
        <v>1.91E-5</v>
      </c>
      <c r="J47" s="90"/>
      <c r="K47" s="95"/>
      <c r="L47" s="113">
        <v>17</v>
      </c>
    </row>
    <row r="48" spans="1:12" x14ac:dyDescent="0.2">
      <c r="A48" s="112" t="s">
        <v>1073</v>
      </c>
      <c r="B48" s="90" t="s">
        <v>1054</v>
      </c>
      <c r="C48" s="90"/>
      <c r="D48" s="90">
        <v>14.57</v>
      </c>
      <c r="E48" s="95">
        <v>4.2876399234910023</v>
      </c>
      <c r="F48" s="95">
        <v>126.4326109455578</v>
      </c>
      <c r="G48" s="95">
        <v>41.649945620429548</v>
      </c>
      <c r="H48" s="95">
        <v>77.48394396248473</v>
      </c>
      <c r="I48" s="94">
        <v>1.9815630475952024E-5</v>
      </c>
      <c r="J48" s="90"/>
      <c r="K48" s="95"/>
      <c r="L48" s="113">
        <v>30</v>
      </c>
    </row>
    <row r="49" spans="1:12" x14ac:dyDescent="0.2">
      <c r="A49" s="112" t="s">
        <v>1074</v>
      </c>
      <c r="B49" s="90" t="s">
        <v>1075</v>
      </c>
      <c r="C49" s="90"/>
      <c r="D49" s="90">
        <v>16.25</v>
      </c>
      <c r="E49" s="95">
        <v>4.3490672999999997</v>
      </c>
      <c r="F49" s="95">
        <v>157.62</v>
      </c>
      <c r="G49" s="95">
        <v>37.43</v>
      </c>
      <c r="H49" s="95">
        <v>65</v>
      </c>
      <c r="I49" s="94">
        <v>2.3E-5</v>
      </c>
      <c r="J49" s="90"/>
      <c r="K49" s="95"/>
      <c r="L49" s="113">
        <v>30</v>
      </c>
    </row>
    <row r="50" spans="1:12" x14ac:dyDescent="0.2">
      <c r="A50" s="112" t="s">
        <v>1076</v>
      </c>
      <c r="B50" s="90" t="s">
        <v>1054</v>
      </c>
      <c r="C50" s="90"/>
      <c r="D50" s="90">
        <v>33.75</v>
      </c>
      <c r="E50" s="95">
        <v>21.187109224385839</v>
      </c>
      <c r="F50" s="95">
        <v>671.95721617172933</v>
      </c>
      <c r="G50" s="95">
        <v>193.69067354195045</v>
      </c>
      <c r="H50" s="95">
        <v>72.94966858315675</v>
      </c>
      <c r="I50" s="94">
        <v>2.0658698599186621E-5</v>
      </c>
      <c r="J50" s="90"/>
      <c r="K50" s="95"/>
      <c r="L50" s="113">
        <v>30</v>
      </c>
    </row>
    <row r="51" spans="1:12" x14ac:dyDescent="0.2">
      <c r="A51" s="112" t="s">
        <v>1077</v>
      </c>
      <c r="B51" s="90" t="s">
        <v>1075</v>
      </c>
      <c r="C51" s="90"/>
      <c r="D51" s="90">
        <v>17.5</v>
      </c>
      <c r="E51" s="95">
        <v>5.0438707119781636</v>
      </c>
      <c r="F51" s="95">
        <v>182.80142253075607</v>
      </c>
      <c r="G51" s="95">
        <v>41.678724337012383</v>
      </c>
      <c r="H51" s="95">
        <v>64.511847888274303</v>
      </c>
      <c r="I51" s="94">
        <v>2.3E-5</v>
      </c>
      <c r="J51" s="90"/>
      <c r="K51" s="95"/>
      <c r="L51" s="113">
        <v>30</v>
      </c>
    </row>
    <row r="52" spans="1:12" x14ac:dyDescent="0.2">
      <c r="A52" s="112" t="s">
        <v>1078</v>
      </c>
      <c r="B52" s="90" t="s">
        <v>1054</v>
      </c>
      <c r="C52" s="90"/>
      <c r="D52" s="90">
        <v>10.98</v>
      </c>
      <c r="E52" s="95">
        <v>2.4255796635372793</v>
      </c>
      <c r="F52" s="95">
        <v>73.646157463248002</v>
      </c>
      <c r="G52" s="95">
        <v>21.83082524803423</v>
      </c>
      <c r="H52" s="95">
        <v>75.911582693508734</v>
      </c>
      <c r="I52" s="94">
        <v>2.0129473684210525E-5</v>
      </c>
      <c r="J52" s="90"/>
      <c r="K52" s="95"/>
      <c r="L52" s="113">
        <v>30</v>
      </c>
    </row>
    <row r="53" spans="1:12" x14ac:dyDescent="0.2">
      <c r="A53" s="112" t="s">
        <v>1079</v>
      </c>
      <c r="B53" s="90" t="s">
        <v>1051</v>
      </c>
      <c r="C53" s="90"/>
      <c r="D53" s="90">
        <v>10.98</v>
      </c>
      <c r="E53" s="95">
        <v>2.5619989845599997</v>
      </c>
      <c r="F53" s="95">
        <v>73.650000000000006</v>
      </c>
      <c r="G53" s="95">
        <v>21.8</v>
      </c>
      <c r="H53" s="95">
        <v>79</v>
      </c>
      <c r="I53" s="94">
        <v>1.91E-5</v>
      </c>
      <c r="J53" s="90"/>
      <c r="K53" s="95"/>
      <c r="L53" s="113">
        <v>17</v>
      </c>
    </row>
    <row r="54" spans="1:12" x14ac:dyDescent="0.2">
      <c r="A54" s="112" t="s">
        <v>1080</v>
      </c>
      <c r="B54" s="90" t="s">
        <v>1054</v>
      </c>
      <c r="C54" s="90"/>
      <c r="D54" s="90">
        <v>38.43</v>
      </c>
      <c r="E54" s="95">
        <v>25.704835022945403</v>
      </c>
      <c r="F54" s="95">
        <v>871.93576777488579</v>
      </c>
      <c r="G54" s="95">
        <v>178.79939454704319</v>
      </c>
      <c r="H54" s="95">
        <v>67.435183299711056</v>
      </c>
      <c r="I54" s="94">
        <v>2.1818840006937018E-5</v>
      </c>
      <c r="J54" s="90"/>
      <c r="K54" s="95"/>
      <c r="L54" s="113">
        <v>30</v>
      </c>
    </row>
    <row r="55" spans="1:12" x14ac:dyDescent="0.2">
      <c r="A55" s="112" t="s">
        <v>1081</v>
      </c>
      <c r="B55" s="90" t="s">
        <v>1051</v>
      </c>
      <c r="C55" s="90"/>
      <c r="D55" s="90">
        <v>38.4</v>
      </c>
      <c r="E55" s="95">
        <v>26.889210000000006</v>
      </c>
      <c r="F55" s="95">
        <v>870.2</v>
      </c>
      <c r="G55" s="95">
        <v>181</v>
      </c>
      <c r="H55" s="95">
        <v>63</v>
      </c>
      <c r="I55" s="94">
        <v>2.09E-5</v>
      </c>
      <c r="J55" s="90"/>
      <c r="K55" s="95"/>
      <c r="L55" s="113">
        <v>23</v>
      </c>
    </row>
    <row r="56" spans="1:12" x14ac:dyDescent="0.2">
      <c r="A56" s="112" t="s">
        <v>1082</v>
      </c>
      <c r="B56" s="90" t="s">
        <v>1075</v>
      </c>
      <c r="C56" s="90"/>
      <c r="D56" s="90">
        <v>18.75</v>
      </c>
      <c r="E56" s="95">
        <v>5.7901577050769735</v>
      </c>
      <c r="F56" s="95">
        <v>209.8485717827557</v>
      </c>
      <c r="G56" s="95">
        <v>47.845474366468295</v>
      </c>
      <c r="H56" s="95">
        <v>64.511847888274303</v>
      </c>
      <c r="I56" s="94">
        <v>2.3E-5</v>
      </c>
      <c r="J56" s="90"/>
      <c r="K56" s="95"/>
      <c r="L56" s="113">
        <v>30</v>
      </c>
    </row>
    <row r="57" spans="1:12" x14ac:dyDescent="0.2">
      <c r="A57" s="112" t="s">
        <v>1083</v>
      </c>
      <c r="B57" s="90" t="s">
        <v>1075</v>
      </c>
      <c r="C57" s="90"/>
      <c r="D57" s="90">
        <v>21</v>
      </c>
      <c r="E57" s="95">
        <v>7.3192853263364652</v>
      </c>
      <c r="F57" s="95">
        <v>261.53758841135027</v>
      </c>
      <c r="G57" s="95">
        <v>62.115177247695684</v>
      </c>
      <c r="H57" s="95">
        <v>64.082284869200294</v>
      </c>
      <c r="I57" s="94">
        <v>2.3E-5</v>
      </c>
      <c r="J57" s="90"/>
      <c r="K57" s="95"/>
      <c r="L57" s="113">
        <v>30</v>
      </c>
    </row>
    <row r="58" spans="1:12" x14ac:dyDescent="0.2">
      <c r="A58" s="112" t="s">
        <v>1084</v>
      </c>
      <c r="B58" s="90" t="s">
        <v>1075</v>
      </c>
      <c r="C58" s="90"/>
      <c r="D58" s="90">
        <v>22.75</v>
      </c>
      <c r="E58" s="95">
        <v>8.5899945843809888</v>
      </c>
      <c r="F58" s="95">
        <v>306.94341973276528</v>
      </c>
      <c r="G58" s="95">
        <v>72.899062186531751</v>
      </c>
      <c r="H58" s="95">
        <v>64.082284869200294</v>
      </c>
      <c r="I58" s="94">
        <v>2.3E-5</v>
      </c>
      <c r="J58" s="90"/>
      <c r="K58" s="95"/>
      <c r="L58" s="113">
        <v>30</v>
      </c>
    </row>
    <row r="59" spans="1:12" x14ac:dyDescent="0.2">
      <c r="A59" s="114" t="s">
        <v>1085</v>
      </c>
      <c r="B59" s="91" t="s">
        <v>1086</v>
      </c>
      <c r="C59" s="90"/>
      <c r="D59" s="92">
        <v>12.2</v>
      </c>
      <c r="E59" s="92">
        <f>470*9.80665/1000</f>
        <v>4.6091255000000002</v>
      </c>
      <c r="F59" s="92">
        <v>76.73</v>
      </c>
      <c r="G59" s="92">
        <v>78.665000000000006</v>
      </c>
      <c r="H59" s="93">
        <f>14180*9.80665/1000</f>
        <v>139.05829699999998</v>
      </c>
      <c r="I59" s="94">
        <v>1.34E-5</v>
      </c>
      <c r="J59" s="90"/>
      <c r="K59" s="95"/>
      <c r="L59" s="113"/>
    </row>
    <row r="60" spans="1:12" x14ac:dyDescent="0.2">
      <c r="A60" s="114" t="s">
        <v>1087</v>
      </c>
      <c r="B60" s="91" t="s">
        <v>1086</v>
      </c>
      <c r="C60" s="90"/>
      <c r="D60" s="92">
        <v>12.2</v>
      </c>
      <c r="E60" s="92">
        <f>494*9.80665/1000</f>
        <v>4.8444851</v>
      </c>
      <c r="F60" s="92">
        <v>88.29</v>
      </c>
      <c r="G60" s="92">
        <v>78.7</v>
      </c>
      <c r="H60" s="93">
        <v>139.1</v>
      </c>
      <c r="I60" s="94">
        <v>1.34E-5</v>
      </c>
      <c r="J60" s="90"/>
      <c r="K60" s="95"/>
      <c r="L60" s="113"/>
    </row>
    <row r="61" spans="1:12" x14ac:dyDescent="0.2">
      <c r="A61" s="114" t="s">
        <v>1088</v>
      </c>
      <c r="B61" s="91" t="s">
        <v>1086</v>
      </c>
      <c r="C61" s="90"/>
      <c r="D61" s="92">
        <v>13.9</v>
      </c>
      <c r="E61" s="92">
        <f>755*9.80665/1000</f>
        <v>7.4040207499999999</v>
      </c>
      <c r="F61" s="92">
        <v>109</v>
      </c>
      <c r="G61" s="92">
        <v>140</v>
      </c>
      <c r="H61" s="93">
        <v>162</v>
      </c>
      <c r="I61" s="94">
        <v>1.2999999999999999E-5</v>
      </c>
      <c r="J61" s="90"/>
      <c r="K61" s="95"/>
      <c r="L61" s="113"/>
    </row>
    <row r="62" spans="1:12" x14ac:dyDescent="0.2">
      <c r="A62" s="114" t="s">
        <v>1089</v>
      </c>
      <c r="B62" s="91" t="s">
        <v>1086</v>
      </c>
      <c r="C62" s="90"/>
      <c r="D62" s="92">
        <v>15.2</v>
      </c>
      <c r="E62" s="92">
        <f>805*9.80665/1000</f>
        <v>7.8943532499999991</v>
      </c>
      <c r="F62" s="92">
        <v>136.69999999999999</v>
      </c>
      <c r="G62" s="92">
        <v>137.19999999999999</v>
      </c>
      <c r="H62" s="93">
        <v>136</v>
      </c>
      <c r="I62" s="94">
        <v>1.36E-5</v>
      </c>
      <c r="J62" s="90"/>
      <c r="K62" s="95"/>
      <c r="L62" s="113"/>
    </row>
    <row r="63" spans="1:12" x14ac:dyDescent="0.2">
      <c r="A63" s="114" t="s">
        <v>1090</v>
      </c>
      <c r="B63" s="91" t="s">
        <v>1086</v>
      </c>
      <c r="C63" s="90"/>
      <c r="D63" s="92">
        <v>15.2</v>
      </c>
      <c r="E63" s="92">
        <f>797*9.80665/1000</f>
        <v>7.8159000499999989</v>
      </c>
      <c r="F63" s="92">
        <v>136.69999999999999</v>
      </c>
      <c r="G63" s="92">
        <v>136.69999999999999</v>
      </c>
      <c r="H63" s="93">
        <v>136.19999999999999</v>
      </c>
      <c r="I63" s="94">
        <v>1.36E-5</v>
      </c>
      <c r="J63" s="90"/>
      <c r="K63" s="95"/>
      <c r="L63" s="113"/>
    </row>
    <row r="64" spans="1:12" x14ac:dyDescent="0.2">
      <c r="A64" s="114" t="s">
        <v>1091</v>
      </c>
      <c r="B64" s="91" t="s">
        <v>1086</v>
      </c>
      <c r="C64" s="90"/>
      <c r="D64" s="92">
        <v>16</v>
      </c>
      <c r="E64" s="92">
        <f>908*9.80665/1000</f>
        <v>8.9044381999999995</v>
      </c>
      <c r="F64" s="92">
        <v>127</v>
      </c>
      <c r="G64" s="92">
        <v>155</v>
      </c>
      <c r="H64" s="93">
        <v>162</v>
      </c>
      <c r="I64" s="94">
        <v>1.2999999999999999E-5</v>
      </c>
      <c r="J64" s="90"/>
      <c r="K64" s="95"/>
      <c r="L64" s="113"/>
    </row>
    <row r="65" spans="1:12" x14ac:dyDescent="0.2">
      <c r="A65" s="114" t="s">
        <v>1092</v>
      </c>
      <c r="B65" s="91" t="s">
        <v>1086</v>
      </c>
      <c r="C65" s="90"/>
      <c r="D65" s="92">
        <v>17.399999999999999</v>
      </c>
      <c r="E65" s="92">
        <f>592*9.80665/1000</f>
        <v>5.8055367999999996</v>
      </c>
      <c r="F65" s="92">
        <v>174</v>
      </c>
      <c r="G65" s="92">
        <v>65</v>
      </c>
      <c r="H65" s="93">
        <v>75.554000000000002</v>
      </c>
      <c r="I65" s="94">
        <v>1.9899999999999999E-5</v>
      </c>
      <c r="J65" s="90"/>
      <c r="K65" s="95"/>
      <c r="L65" s="113"/>
    </row>
    <row r="66" spans="1:12" x14ac:dyDescent="0.2">
      <c r="A66" s="112" t="s">
        <v>1093</v>
      </c>
      <c r="B66" s="90" t="s">
        <v>1075</v>
      </c>
      <c r="C66" s="90"/>
      <c r="D66" s="90">
        <v>23.75</v>
      </c>
      <c r="E66" s="95">
        <v>9.2899863623679426</v>
      </c>
      <c r="F66" s="95">
        <v>336.69037517144358</v>
      </c>
      <c r="G66" s="95">
        <v>73.566846974960427</v>
      </c>
      <c r="H66" s="95">
        <v>64.511847888274303</v>
      </c>
      <c r="I66" s="94">
        <v>2.3E-5</v>
      </c>
      <c r="J66" s="90"/>
      <c r="K66" s="95"/>
      <c r="L66" s="113">
        <v>30</v>
      </c>
    </row>
    <row r="67" spans="1:12" x14ac:dyDescent="0.2">
      <c r="A67" s="112" t="s">
        <v>1094</v>
      </c>
      <c r="B67" s="90" t="s">
        <v>1054</v>
      </c>
      <c r="C67" s="90"/>
      <c r="D67" s="90">
        <v>16.28</v>
      </c>
      <c r="E67" s="95">
        <v>5.1852566976114014</v>
      </c>
      <c r="F67" s="95">
        <v>156.86553314014748</v>
      </c>
      <c r="G67" s="95">
        <v>49.71971932678828</v>
      </c>
      <c r="H67" s="95">
        <v>75.636198028807897</v>
      </c>
      <c r="I67" s="94">
        <v>2.017434829099313E-5</v>
      </c>
      <c r="J67" s="90"/>
      <c r="K67" s="95"/>
      <c r="L67" s="113">
        <v>30</v>
      </c>
    </row>
    <row r="68" spans="1:12" x14ac:dyDescent="0.2">
      <c r="A68" s="112" t="s">
        <v>1095</v>
      </c>
      <c r="B68" s="90" t="s">
        <v>1054</v>
      </c>
      <c r="C68" s="90"/>
      <c r="D68" s="90">
        <v>35.1</v>
      </c>
      <c r="E68" s="95">
        <v>23.21610479101572</v>
      </c>
      <c r="F68" s="95">
        <v>726.78892501134237</v>
      </c>
      <c r="G68" s="95">
        <v>188.50289994874657</v>
      </c>
      <c r="H68" s="95">
        <v>72.949668583156736</v>
      </c>
      <c r="I68" s="94">
        <v>2.0658698599186625E-5</v>
      </c>
      <c r="J68" s="90"/>
      <c r="K68" s="95"/>
      <c r="L68" s="113">
        <v>30</v>
      </c>
    </row>
    <row r="69" spans="1:12" x14ac:dyDescent="0.2">
      <c r="A69" s="112" t="s">
        <v>1096</v>
      </c>
      <c r="B69" s="90" t="s">
        <v>1051</v>
      </c>
      <c r="C69" s="90"/>
      <c r="D69" s="90">
        <v>35.1</v>
      </c>
      <c r="E69" s="95">
        <v>24.667462781999998</v>
      </c>
      <c r="F69" s="95">
        <v>726.4</v>
      </c>
      <c r="G69" s="95">
        <v>196.3</v>
      </c>
      <c r="H69" s="95">
        <v>70.5</v>
      </c>
      <c r="I69" s="94">
        <v>1.9599999999999999E-5</v>
      </c>
      <c r="J69" s="90"/>
      <c r="K69" s="95"/>
      <c r="L69" s="113">
        <v>17</v>
      </c>
    </row>
    <row r="70" spans="1:12" x14ac:dyDescent="0.2">
      <c r="A70" s="112" t="s">
        <v>1097</v>
      </c>
      <c r="B70" s="90" t="s">
        <v>1075</v>
      </c>
      <c r="C70" s="90"/>
      <c r="D70" s="90">
        <v>26.25</v>
      </c>
      <c r="E70" s="95">
        <v>11.436383322400724</v>
      </c>
      <c r="F70" s="95">
        <v>408.65248189273478</v>
      </c>
      <c r="G70" s="95">
        <v>93.172765871543518</v>
      </c>
      <c r="H70" s="95">
        <v>64.082284869200294</v>
      </c>
      <c r="I70" s="94">
        <v>2.3E-5</v>
      </c>
      <c r="J70" s="90"/>
      <c r="K70" s="95"/>
      <c r="L70" s="113">
        <v>30</v>
      </c>
    </row>
    <row r="71" spans="1:12" x14ac:dyDescent="0.2">
      <c r="A71" s="112" t="s">
        <v>1098</v>
      </c>
      <c r="B71" s="90" t="s">
        <v>1054</v>
      </c>
      <c r="C71" s="90"/>
      <c r="D71" s="90">
        <v>12.741</v>
      </c>
      <c r="E71" s="95">
        <v>3.2562245750408998</v>
      </c>
      <c r="F71" s="95">
        <v>99.163636192482699</v>
      </c>
      <c r="G71" s="95">
        <v>27.987944678966318</v>
      </c>
      <c r="H71" s="95">
        <v>75.911582693508706</v>
      </c>
      <c r="I71" s="94">
        <v>2.0129473684210525E-5</v>
      </c>
      <c r="J71" s="90"/>
      <c r="K71" s="95"/>
      <c r="L71" s="113">
        <v>30</v>
      </c>
    </row>
    <row r="72" spans="1:12" x14ac:dyDescent="0.2">
      <c r="A72" s="112" t="s">
        <v>1099</v>
      </c>
      <c r="B72" s="90" t="s">
        <v>1051</v>
      </c>
      <c r="C72" s="90"/>
      <c r="D72" s="90">
        <v>12.74</v>
      </c>
      <c r="E72" s="95">
        <v>3.4561488374999998</v>
      </c>
      <c r="F72" s="95">
        <v>99.2</v>
      </c>
      <c r="G72" s="95">
        <v>29.5</v>
      </c>
      <c r="H72" s="95">
        <v>80</v>
      </c>
      <c r="I72" s="94">
        <v>1.91E-5</v>
      </c>
      <c r="J72" s="90"/>
      <c r="K72" s="95"/>
      <c r="L72" s="113">
        <v>0</v>
      </c>
    </row>
    <row r="73" spans="1:12" x14ac:dyDescent="0.2">
      <c r="A73" s="112" t="s">
        <v>1100</v>
      </c>
      <c r="B73" s="90" t="s">
        <v>1075</v>
      </c>
      <c r="C73" s="90"/>
      <c r="D73" s="90">
        <v>29.25</v>
      </c>
      <c r="E73" s="95">
        <v>14.294934141556494</v>
      </c>
      <c r="F73" s="95">
        <v>506.04185415401844</v>
      </c>
      <c r="G73" s="95">
        <v>113.85941718465416</v>
      </c>
      <c r="H73" s="95">
        <v>63.694350969122148</v>
      </c>
      <c r="I73" s="94">
        <v>2.3E-5</v>
      </c>
      <c r="J73" s="90"/>
      <c r="K73" s="95"/>
      <c r="L73" s="113">
        <v>30</v>
      </c>
    </row>
    <row r="74" spans="1:12" x14ac:dyDescent="0.2">
      <c r="A74" s="112" t="s">
        <v>1101</v>
      </c>
      <c r="B74" s="90" t="s">
        <v>1075</v>
      </c>
      <c r="C74" s="90"/>
      <c r="D74" s="90">
        <v>31.5</v>
      </c>
      <c r="E74" s="95">
        <v>16.578740187840673</v>
      </c>
      <c r="F74" s="95">
        <v>586.88877759874322</v>
      </c>
      <c r="G74" s="95">
        <v>126.76797596132856</v>
      </c>
      <c r="H74" s="95">
        <v>63.694350969122148</v>
      </c>
      <c r="I74" s="94">
        <v>2.3E-5</v>
      </c>
      <c r="J74" s="90"/>
      <c r="K74" s="95"/>
      <c r="L74" s="113">
        <v>30</v>
      </c>
    </row>
    <row r="75" spans="1:12" x14ac:dyDescent="0.2">
      <c r="A75" s="112" t="s">
        <v>1102</v>
      </c>
      <c r="B75" s="90" t="s">
        <v>1054</v>
      </c>
      <c r="C75" s="90"/>
      <c r="D75" s="90">
        <v>12.95</v>
      </c>
      <c r="E75" s="95">
        <v>4.2601512602273184</v>
      </c>
      <c r="F75" s="95">
        <v>100.10205897784201</v>
      </c>
      <c r="G75" s="95">
        <v>55.351170085326757</v>
      </c>
      <c r="H75" s="95">
        <v>97.775789176429853</v>
      </c>
      <c r="I75" s="94">
        <v>1.7126461538461541E-5</v>
      </c>
      <c r="J75" s="90"/>
      <c r="K75" s="95"/>
      <c r="L75" s="113">
        <v>30</v>
      </c>
    </row>
    <row r="76" spans="1:12" x14ac:dyDescent="0.2">
      <c r="A76" s="112" t="s">
        <v>1103</v>
      </c>
      <c r="B76" s="90" t="s">
        <v>1051</v>
      </c>
      <c r="C76" s="90"/>
      <c r="D76" s="90">
        <v>12.95</v>
      </c>
      <c r="E76" s="95">
        <v>4.2601512602273184</v>
      </c>
      <c r="F76" s="95">
        <v>100.1</v>
      </c>
      <c r="G76" s="95">
        <v>52.9</v>
      </c>
      <c r="H76" s="95">
        <v>97.775789176429853</v>
      </c>
      <c r="I76" s="94">
        <v>1.7126461538461541E-5</v>
      </c>
      <c r="J76" s="90"/>
      <c r="K76" s="95"/>
      <c r="L76" s="113">
        <v>8</v>
      </c>
    </row>
    <row r="77" spans="1:12" x14ac:dyDescent="0.2">
      <c r="A77" s="112" t="s">
        <v>1104</v>
      </c>
      <c r="B77" s="90" t="s">
        <v>1075</v>
      </c>
      <c r="C77" s="90"/>
      <c r="D77" s="90">
        <v>33.75</v>
      </c>
      <c r="E77" s="95">
        <v>19.031717052368116</v>
      </c>
      <c r="F77" s="95">
        <v>673.72436203937355</v>
      </c>
      <c r="G77" s="95">
        <v>145.5244622005047</v>
      </c>
      <c r="H77" s="95">
        <v>63.694350969122148</v>
      </c>
      <c r="I77" s="94">
        <v>2.3E-5</v>
      </c>
      <c r="J77" s="90"/>
      <c r="K77" s="95"/>
      <c r="L77" s="113">
        <v>30</v>
      </c>
    </row>
    <row r="78" spans="1:12" x14ac:dyDescent="0.2">
      <c r="A78" s="112" t="s">
        <v>1105</v>
      </c>
      <c r="B78" s="90" t="s">
        <v>1049</v>
      </c>
      <c r="C78" s="90"/>
      <c r="D78" s="90">
        <v>29.25</v>
      </c>
      <c r="E78" s="95">
        <v>14.294934141556494</v>
      </c>
      <c r="F78" s="95">
        <v>506.04185415401844</v>
      </c>
      <c r="G78" s="95">
        <v>75.147215341871728</v>
      </c>
      <c r="H78" s="95">
        <v>63.694350969122148</v>
      </c>
      <c r="I78" s="94">
        <v>2.3E-5</v>
      </c>
      <c r="J78" s="90"/>
      <c r="K78" s="95"/>
      <c r="L78" s="113">
        <v>23</v>
      </c>
    </row>
    <row r="79" spans="1:12" x14ac:dyDescent="0.2">
      <c r="A79" s="112" t="s">
        <v>1106</v>
      </c>
      <c r="B79" s="90" t="s">
        <v>1049</v>
      </c>
      <c r="C79" s="90"/>
      <c r="D79" s="90">
        <v>31.5</v>
      </c>
      <c r="E79" s="95">
        <v>16.578740187840673</v>
      </c>
      <c r="F79" s="95">
        <v>586.88877759874322</v>
      </c>
      <c r="G79" s="95">
        <v>87.152983473413371</v>
      </c>
      <c r="H79" s="95">
        <v>63.694350969122148</v>
      </c>
      <c r="I79" s="94">
        <v>2.3E-5</v>
      </c>
      <c r="J79" s="90"/>
      <c r="K79" s="95"/>
      <c r="L79" s="113">
        <v>23</v>
      </c>
    </row>
    <row r="80" spans="1:12" x14ac:dyDescent="0.2">
      <c r="A80" s="112" t="s">
        <v>1107</v>
      </c>
      <c r="B80" s="90" t="s">
        <v>1049</v>
      </c>
      <c r="C80" s="90"/>
      <c r="D80" s="90">
        <v>33.75</v>
      </c>
      <c r="E80" s="95">
        <v>19.031717052368116</v>
      </c>
      <c r="F80" s="95">
        <v>673.72436203937355</v>
      </c>
      <c r="G80" s="95">
        <v>97.016308133669796</v>
      </c>
      <c r="H80" s="95">
        <v>63.694350969122148</v>
      </c>
      <c r="I80" s="94">
        <v>2.3E-5</v>
      </c>
      <c r="J80" s="90"/>
      <c r="K80" s="95"/>
      <c r="L80" s="113">
        <v>23</v>
      </c>
    </row>
    <row r="81" spans="1:12" x14ac:dyDescent="0.2">
      <c r="A81" s="112" t="s">
        <v>1108</v>
      </c>
      <c r="B81" s="90" t="s">
        <v>1049</v>
      </c>
      <c r="C81" s="90"/>
      <c r="D81" s="90">
        <v>14.16</v>
      </c>
      <c r="E81" s="95">
        <v>3.386885937871654</v>
      </c>
      <c r="F81" s="95">
        <v>122.48190110403596</v>
      </c>
      <c r="G81" s="95">
        <v>18.617248967813467</v>
      </c>
      <c r="H81" s="95">
        <v>65.434697151182377</v>
      </c>
      <c r="I81" s="94">
        <v>2.3E-5</v>
      </c>
      <c r="J81" s="90"/>
      <c r="K81" s="95"/>
      <c r="L81" s="113">
        <v>23</v>
      </c>
    </row>
    <row r="82" spans="1:12" x14ac:dyDescent="0.2">
      <c r="A82" s="112" t="s">
        <v>1109</v>
      </c>
      <c r="B82" s="90" t="s">
        <v>1054</v>
      </c>
      <c r="C82" s="90"/>
      <c r="D82" s="90">
        <v>18.13</v>
      </c>
      <c r="E82" s="95">
        <v>6.8361960345005963</v>
      </c>
      <c r="F82" s="95">
        <v>194.93558853579759</v>
      </c>
      <c r="G82" s="95">
        <v>71.662537169295121</v>
      </c>
      <c r="H82" s="95">
        <v>80.446595110290531</v>
      </c>
      <c r="I82" s="94">
        <v>1.939149338374291E-5</v>
      </c>
      <c r="J82" s="90"/>
      <c r="K82" s="95"/>
      <c r="L82" s="113">
        <v>30</v>
      </c>
    </row>
    <row r="83" spans="1:12" x14ac:dyDescent="0.2">
      <c r="A83" s="112" t="s">
        <v>1110</v>
      </c>
      <c r="B83" s="90" t="s">
        <v>1051</v>
      </c>
      <c r="C83" s="90"/>
      <c r="D83" s="90">
        <v>18.13</v>
      </c>
      <c r="E83" s="95">
        <v>7.3991052008099993</v>
      </c>
      <c r="F83" s="95">
        <v>194.9</v>
      </c>
      <c r="G83" s="95">
        <v>69.2</v>
      </c>
      <c r="H83" s="95">
        <v>80</v>
      </c>
      <c r="I83" s="94">
        <v>1.7799999999999999E-5</v>
      </c>
      <c r="J83" s="90"/>
      <c r="K83" s="95"/>
      <c r="L83" s="113">
        <v>14</v>
      </c>
    </row>
    <row r="84" spans="1:12" x14ac:dyDescent="0.2">
      <c r="A84" s="112" t="s">
        <v>1111</v>
      </c>
      <c r="B84" s="90" t="s">
        <v>1054</v>
      </c>
      <c r="C84" s="90"/>
      <c r="D84" s="90">
        <v>28.62</v>
      </c>
      <c r="E84" s="95">
        <v>15.444168930090019</v>
      </c>
      <c r="F84" s="95">
        <v>484.4778836399617</v>
      </c>
      <c r="G84" s="95">
        <v>137.81410224460026</v>
      </c>
      <c r="H84" s="95">
        <v>73.353141462688811</v>
      </c>
      <c r="I84" s="94">
        <v>2.0616853932584265E-5</v>
      </c>
      <c r="J84" s="90"/>
      <c r="K84" s="95"/>
      <c r="L84" s="113">
        <v>30</v>
      </c>
    </row>
    <row r="85" spans="1:12" x14ac:dyDescent="0.2">
      <c r="A85" s="112" t="s">
        <v>1112</v>
      </c>
      <c r="B85" s="90" t="s">
        <v>1051</v>
      </c>
      <c r="C85" s="90"/>
      <c r="D85" s="90">
        <v>28.62</v>
      </c>
      <c r="E85" s="95">
        <v>16.471433176560001</v>
      </c>
      <c r="F85" s="95">
        <v>484.5</v>
      </c>
      <c r="G85" s="95">
        <v>131.9</v>
      </c>
      <c r="H85" s="95">
        <v>71</v>
      </c>
      <c r="I85" s="94">
        <v>1.9400000000000001E-5</v>
      </c>
      <c r="J85" s="90"/>
      <c r="K85" s="95"/>
      <c r="L85" s="113">
        <v>17</v>
      </c>
    </row>
    <row r="86" spans="1:12" x14ac:dyDescent="0.2">
      <c r="A86" s="115"/>
      <c r="B86" s="88"/>
      <c r="C86" s="88"/>
      <c r="D86" s="88"/>
      <c r="E86" s="88"/>
      <c r="F86" s="88"/>
      <c r="G86" s="88"/>
      <c r="H86" s="88"/>
      <c r="I86" s="88"/>
      <c r="J86" s="88"/>
      <c r="K86" s="89"/>
      <c r="L86" s="116"/>
    </row>
    <row r="87" spans="1:12" x14ac:dyDescent="0.2">
      <c r="A87" s="115"/>
      <c r="B87" s="88"/>
      <c r="C87" s="88"/>
      <c r="D87" s="88"/>
      <c r="E87" s="88"/>
      <c r="F87" s="88"/>
      <c r="G87" s="88"/>
      <c r="H87" s="88"/>
      <c r="I87" s="88"/>
      <c r="J87" s="88"/>
      <c r="K87" s="89"/>
      <c r="L87" s="116"/>
    </row>
    <row r="88" spans="1:12" x14ac:dyDescent="0.2">
      <c r="A88" s="115"/>
      <c r="B88" s="88"/>
      <c r="C88" s="88"/>
      <c r="D88" s="88"/>
      <c r="E88" s="88"/>
      <c r="F88" s="88"/>
      <c r="G88" s="88"/>
      <c r="H88" s="88"/>
      <c r="I88" s="88"/>
      <c r="J88" s="88"/>
      <c r="K88" s="89"/>
      <c r="L88" s="116"/>
    </row>
    <row r="89" spans="1:12" x14ac:dyDescent="0.2">
      <c r="A89" s="115"/>
      <c r="B89" s="88"/>
      <c r="C89" s="88"/>
      <c r="D89" s="88"/>
      <c r="E89" s="88"/>
      <c r="F89" s="88"/>
      <c r="G89" s="88"/>
      <c r="H89" s="88"/>
      <c r="I89" s="88"/>
      <c r="J89" s="88"/>
      <c r="K89" s="89"/>
      <c r="L89" s="116"/>
    </row>
    <row r="90" spans="1:12" x14ac:dyDescent="0.2">
      <c r="A90" s="115"/>
      <c r="B90" s="88"/>
      <c r="C90" s="88"/>
      <c r="D90" s="88"/>
      <c r="E90" s="88"/>
      <c r="F90" s="88"/>
      <c r="G90" s="88"/>
      <c r="H90" s="88"/>
      <c r="I90" s="88"/>
      <c r="J90" s="88"/>
      <c r="K90" s="89"/>
      <c r="L90" s="116"/>
    </row>
    <row r="91" spans="1:12" x14ac:dyDescent="0.2">
      <c r="A91" s="115"/>
      <c r="B91" s="88"/>
      <c r="C91" s="88"/>
      <c r="D91" s="88"/>
      <c r="E91" s="88"/>
      <c r="F91" s="88"/>
      <c r="G91" s="88"/>
      <c r="H91" s="88"/>
      <c r="I91" s="88"/>
      <c r="J91" s="88"/>
      <c r="K91" s="89"/>
      <c r="L91" s="116"/>
    </row>
    <row r="92" spans="1:12" x14ac:dyDescent="0.2">
      <c r="A92" s="115"/>
      <c r="B92" s="88"/>
      <c r="C92" s="88"/>
      <c r="D92" s="88"/>
      <c r="E92" s="88"/>
      <c r="F92" s="88"/>
      <c r="G92" s="88"/>
      <c r="H92" s="88"/>
      <c r="I92" s="88"/>
      <c r="J92" s="88"/>
      <c r="K92" s="89"/>
      <c r="L92" s="116"/>
    </row>
    <row r="93" spans="1:12" x14ac:dyDescent="0.2">
      <c r="A93" s="115"/>
      <c r="B93" s="88"/>
      <c r="C93" s="88"/>
      <c r="D93" s="88"/>
      <c r="E93" s="88"/>
      <c r="F93" s="88"/>
      <c r="G93" s="88"/>
      <c r="H93" s="88"/>
      <c r="I93" s="88"/>
      <c r="J93" s="88"/>
      <c r="K93" s="89"/>
      <c r="L93" s="116"/>
    </row>
    <row r="94" spans="1:12" x14ac:dyDescent="0.2">
      <c r="A94" s="115"/>
      <c r="B94" s="88"/>
      <c r="C94" s="88"/>
      <c r="D94" s="88"/>
      <c r="E94" s="88"/>
      <c r="F94" s="88"/>
      <c r="G94" s="88"/>
      <c r="H94" s="88"/>
      <c r="I94" s="88"/>
      <c r="J94" s="88"/>
      <c r="K94" s="89"/>
      <c r="L94" s="116"/>
    </row>
    <row r="95" spans="1:12" x14ac:dyDescent="0.2">
      <c r="A95" s="115"/>
      <c r="B95" s="88"/>
      <c r="C95" s="88"/>
      <c r="D95" s="88"/>
      <c r="E95" s="88"/>
      <c r="F95" s="88"/>
      <c r="G95" s="88"/>
      <c r="H95" s="88"/>
      <c r="I95" s="88"/>
      <c r="J95" s="88"/>
      <c r="K95" s="89"/>
      <c r="L95" s="116"/>
    </row>
    <row r="96" spans="1:12" ht="13.5" thickBot="1" x14ac:dyDescent="0.25">
      <c r="A96" s="117"/>
      <c r="B96" s="118"/>
      <c r="C96" s="118"/>
      <c r="D96" s="118"/>
      <c r="E96" s="118"/>
      <c r="F96" s="118"/>
      <c r="G96" s="118"/>
      <c r="H96" s="118"/>
      <c r="I96" s="118"/>
      <c r="J96" s="118"/>
      <c r="K96" s="119"/>
      <c r="L96" s="120"/>
    </row>
  </sheetData>
  <autoFilter ref="A4:L85" xr:uid="{00000000-0009-0000-0000-00000A000000}"/>
  <sortState xmlns:xlrd2="http://schemas.microsoft.com/office/spreadsheetml/2017/richdata2" ref="A7:L82">
    <sortCondition ref="A7:A82"/>
  </sortState>
  <phoneticPr fontId="0" type="noConversion"/>
  <printOptions gridLines="1" gridLinesSet="0"/>
  <pageMargins left="0.75" right="0.75" top="1" bottom="1" header="0.5" footer="0.5"/>
  <pageSetup paperSize="9" orientation="landscape" horizontalDpi="4294967292" verticalDpi="300" r:id="rId1"/>
  <headerFooter alignWithMargins="0">
    <oddHeader>&amp;A</oddHeader>
    <oddFooter>Page &amp;P</oddFooter>
  </headerFooter>
  <ignoredErrors>
    <ignoredError sqref="E59:E65" unlocked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M107"/>
  <sheetViews>
    <sheetView showGridLines="0" tabSelected="1" zoomScale="130" zoomScaleNormal="130" workbookViewId="0">
      <selection activeCell="B1" sqref="B1"/>
    </sheetView>
  </sheetViews>
  <sheetFormatPr defaultRowHeight="12.75" x14ac:dyDescent="0.2"/>
  <cols>
    <col min="1" max="1" width="22.140625" customWidth="1"/>
    <col min="2" max="2" width="93.28515625" style="1" customWidth="1"/>
    <col min="3" max="3" width="22.85546875" customWidth="1"/>
  </cols>
  <sheetData>
    <row r="1" spans="1:13" ht="18" x14ac:dyDescent="0.25">
      <c r="A1" s="435" t="s">
        <v>0</v>
      </c>
    </row>
    <row r="2" spans="1:13" ht="162" customHeight="1" x14ac:dyDescent="0.2">
      <c r="A2" s="420" t="s">
        <v>123</v>
      </c>
      <c r="B2" s="407" t="s">
        <v>124</v>
      </c>
    </row>
    <row r="3" spans="1:13" ht="76.5" x14ac:dyDescent="0.2">
      <c r="A3" s="421"/>
      <c r="B3" s="408" t="s">
        <v>125</v>
      </c>
      <c r="C3" s="388" t="s">
        <v>126</v>
      </c>
    </row>
    <row r="4" spans="1:13" ht="63.75" x14ac:dyDescent="0.2">
      <c r="A4" s="422"/>
      <c r="B4" s="416" t="s">
        <v>127</v>
      </c>
      <c r="C4" s="350"/>
    </row>
    <row r="5" spans="1:13" x14ac:dyDescent="0.2">
      <c r="A5" s="423" t="s">
        <v>128</v>
      </c>
      <c r="B5" s="417"/>
      <c r="M5" s="278"/>
    </row>
    <row r="6" spans="1:13" ht="27" customHeight="1" x14ac:dyDescent="0.2">
      <c r="A6" s="205"/>
      <c r="B6" s="419" t="s">
        <v>129</v>
      </c>
      <c r="D6" s="122"/>
    </row>
    <row r="7" spans="1:13" ht="27" customHeight="1" x14ac:dyDescent="0.2">
      <c r="A7" s="207"/>
      <c r="B7" s="419" t="s">
        <v>130</v>
      </c>
      <c r="D7" s="122"/>
    </row>
    <row r="8" spans="1:13" ht="27" customHeight="1" x14ac:dyDescent="0.2">
      <c r="A8" s="251"/>
      <c r="B8" s="419" t="s">
        <v>131</v>
      </c>
      <c r="D8" s="122"/>
    </row>
    <row r="9" spans="1:13" ht="27" customHeight="1" x14ac:dyDescent="0.25">
      <c r="A9" s="392"/>
      <c r="B9" s="419" t="s">
        <v>132</v>
      </c>
      <c r="D9" s="122"/>
    </row>
    <row r="10" spans="1:13" ht="27" customHeight="1" x14ac:dyDescent="0.2">
      <c r="A10" s="206"/>
      <c r="B10" s="419" t="s">
        <v>133</v>
      </c>
      <c r="D10" s="122"/>
    </row>
    <row r="11" spans="1:13" ht="27" customHeight="1" x14ac:dyDescent="0.2">
      <c r="A11" s="406"/>
      <c r="B11" s="419" t="s">
        <v>134</v>
      </c>
      <c r="D11" s="122"/>
    </row>
    <row r="12" spans="1:13" x14ac:dyDescent="0.2">
      <c r="A12" s="279" t="s">
        <v>135</v>
      </c>
      <c r="B12" s="285"/>
      <c r="D12" s="122"/>
    </row>
    <row r="13" spans="1:13" ht="25.5" x14ac:dyDescent="0.2">
      <c r="A13" s="424" t="s">
        <v>123</v>
      </c>
      <c r="B13" s="417" t="s">
        <v>136</v>
      </c>
      <c r="D13" s="122"/>
    </row>
    <row r="14" spans="1:13" ht="38.25" x14ac:dyDescent="0.2">
      <c r="A14" s="424" t="s">
        <v>137</v>
      </c>
      <c r="B14" s="417" t="s">
        <v>138</v>
      </c>
      <c r="D14" s="122"/>
    </row>
    <row r="15" spans="1:13" ht="25.5" x14ac:dyDescent="0.2">
      <c r="A15" s="424" t="s">
        <v>139</v>
      </c>
      <c r="B15" s="417" t="s">
        <v>140</v>
      </c>
      <c r="D15" s="122"/>
    </row>
    <row r="16" spans="1:13" ht="25.5" x14ac:dyDescent="0.2">
      <c r="A16" s="424" t="s">
        <v>141</v>
      </c>
      <c r="B16" s="417" t="s">
        <v>142</v>
      </c>
      <c r="C16" s="278"/>
      <c r="D16" s="122"/>
    </row>
    <row r="17" spans="1:4" ht="63.75" x14ac:dyDescent="0.2">
      <c r="A17" s="424" t="s">
        <v>143</v>
      </c>
      <c r="B17" s="417" t="s">
        <v>144</v>
      </c>
      <c r="D17" s="122"/>
    </row>
    <row r="18" spans="1:4" ht="25.5" x14ac:dyDescent="0.2">
      <c r="A18" s="424" t="s">
        <v>145</v>
      </c>
      <c r="B18" s="417" t="s">
        <v>146</v>
      </c>
      <c r="D18" s="122"/>
    </row>
    <row r="19" spans="1:4" ht="51" x14ac:dyDescent="0.2">
      <c r="A19" s="424" t="s">
        <v>147</v>
      </c>
      <c r="B19" s="417" t="s">
        <v>148</v>
      </c>
      <c r="C19" s="278"/>
      <c r="D19" s="122"/>
    </row>
    <row r="20" spans="1:4" x14ac:dyDescent="0.2">
      <c r="A20" s="424" t="s">
        <v>149</v>
      </c>
      <c r="B20" s="417" t="s">
        <v>150</v>
      </c>
      <c r="C20" s="278"/>
      <c r="D20" s="122"/>
    </row>
    <row r="21" spans="1:4" x14ac:dyDescent="0.2">
      <c r="A21" s="427" t="s">
        <v>151</v>
      </c>
      <c r="B21" s="407" t="s">
        <v>152</v>
      </c>
      <c r="C21" s="3"/>
      <c r="D21" s="122"/>
    </row>
    <row r="22" spans="1:4" x14ac:dyDescent="0.2">
      <c r="A22" s="425"/>
      <c r="B22" s="426" t="s">
        <v>153</v>
      </c>
      <c r="C22" s="3"/>
    </row>
    <row r="23" spans="1:4" x14ac:dyDescent="0.2">
      <c r="A23" s="194" t="s">
        <v>154</v>
      </c>
      <c r="B23" s="410"/>
    </row>
    <row r="24" spans="1:4" x14ac:dyDescent="0.2">
      <c r="A24" s="194" t="s">
        <v>155</v>
      </c>
      <c r="B24" s="285"/>
    </row>
    <row r="25" spans="1:4" x14ac:dyDescent="0.2">
      <c r="A25" s="122">
        <v>1</v>
      </c>
      <c r="B25" s="411" t="s">
        <v>156</v>
      </c>
    </row>
    <row r="26" spans="1:4" ht="25.5" x14ac:dyDescent="0.2">
      <c r="A26" s="333">
        <v>1.1000000000000001</v>
      </c>
      <c r="B26" s="408" t="s">
        <v>157</v>
      </c>
    </row>
    <row r="27" spans="1:4" ht="38.25" x14ac:dyDescent="0.2">
      <c r="A27" s="333">
        <f>A26+0.1</f>
        <v>1.2000000000000002</v>
      </c>
      <c r="B27" s="408" t="s">
        <v>158</v>
      </c>
    </row>
    <row r="28" spans="1:4" ht="38.25" x14ac:dyDescent="0.2">
      <c r="A28" s="333">
        <f t="shared" ref="A28:A32" si="0">A27+0.1</f>
        <v>1.3000000000000003</v>
      </c>
      <c r="B28" s="408" t="s">
        <v>159</v>
      </c>
    </row>
    <row r="29" spans="1:4" ht="38.25" x14ac:dyDescent="0.2">
      <c r="A29" s="333">
        <f t="shared" si="0"/>
        <v>1.4000000000000004</v>
      </c>
      <c r="B29" s="412" t="s">
        <v>160</v>
      </c>
      <c r="C29" s="309" t="s">
        <v>161</v>
      </c>
    </row>
    <row r="30" spans="1:4" ht="165.75" x14ac:dyDescent="0.2">
      <c r="A30" s="333">
        <f t="shared" si="0"/>
        <v>1.5000000000000004</v>
      </c>
      <c r="B30" s="412" t="s">
        <v>162</v>
      </c>
    </row>
    <row r="31" spans="1:4" ht="178.5" x14ac:dyDescent="0.2">
      <c r="A31" s="333">
        <f t="shared" si="0"/>
        <v>1.6000000000000005</v>
      </c>
      <c r="B31" s="408" t="s">
        <v>163</v>
      </c>
    </row>
    <row r="32" spans="1:4" ht="51" x14ac:dyDescent="0.2">
      <c r="A32" s="333">
        <f t="shared" si="0"/>
        <v>1.7000000000000006</v>
      </c>
      <c r="B32" s="412" t="s">
        <v>164</v>
      </c>
    </row>
    <row r="33" spans="1:2" x14ac:dyDescent="0.2">
      <c r="A33" s="434">
        <v>2</v>
      </c>
      <c r="B33" s="432" t="s">
        <v>165</v>
      </c>
    </row>
    <row r="34" spans="1:2" x14ac:dyDescent="0.2">
      <c r="A34" s="333">
        <v>2.1</v>
      </c>
      <c r="B34" s="412" t="s">
        <v>166</v>
      </c>
    </row>
    <row r="35" spans="1:2" ht="145.5" customHeight="1" x14ac:dyDescent="0.2">
      <c r="A35" s="333">
        <f>A34+0.1</f>
        <v>2.2000000000000002</v>
      </c>
      <c r="B35" s="412" t="s">
        <v>167</v>
      </c>
    </row>
    <row r="36" spans="1:2" ht="38.25" x14ac:dyDescent="0.2">
      <c r="A36" s="333">
        <f>A35+0.1</f>
        <v>2.3000000000000003</v>
      </c>
      <c r="B36" s="412" t="s">
        <v>168</v>
      </c>
    </row>
    <row r="37" spans="1:2" ht="85.15" customHeight="1" x14ac:dyDescent="0.2">
      <c r="A37" s="333">
        <f>A36+0.1</f>
        <v>2.4000000000000004</v>
      </c>
      <c r="B37" s="412" t="s">
        <v>169</v>
      </c>
    </row>
    <row r="38" spans="1:2" ht="140.25" x14ac:dyDescent="0.2">
      <c r="A38" s="333">
        <v>2.5</v>
      </c>
      <c r="B38" s="412" t="s">
        <v>170</v>
      </c>
    </row>
    <row r="39" spans="1:2" x14ac:dyDescent="0.2">
      <c r="A39" s="431">
        <v>3</v>
      </c>
      <c r="B39" s="432" t="s">
        <v>171</v>
      </c>
    </row>
    <row r="40" spans="1:2" ht="114.75" x14ac:dyDescent="0.2">
      <c r="A40" s="333"/>
      <c r="B40" s="409" t="s">
        <v>172</v>
      </c>
    </row>
    <row r="41" spans="1:2" x14ac:dyDescent="0.2">
      <c r="A41" s="431">
        <v>4</v>
      </c>
      <c r="B41" s="432" t="s">
        <v>173</v>
      </c>
    </row>
    <row r="42" spans="1:2" x14ac:dyDescent="0.2">
      <c r="A42" s="333"/>
      <c r="B42" s="409" t="s">
        <v>174</v>
      </c>
    </row>
    <row r="43" spans="1:2" x14ac:dyDescent="0.2">
      <c r="A43" s="333"/>
      <c r="B43" s="409" t="s">
        <v>175</v>
      </c>
    </row>
    <row r="44" spans="1:2" ht="25.5" x14ac:dyDescent="0.2">
      <c r="A44" s="333"/>
      <c r="B44" s="409" t="s">
        <v>176</v>
      </c>
    </row>
    <row r="45" spans="1:2" x14ac:dyDescent="0.2">
      <c r="A45" s="333"/>
      <c r="B45" s="409" t="s">
        <v>177</v>
      </c>
    </row>
    <row r="46" spans="1:2" ht="25.5" x14ac:dyDescent="0.2">
      <c r="A46" s="285"/>
      <c r="B46" s="409" t="s">
        <v>178</v>
      </c>
    </row>
    <row r="47" spans="1:2" x14ac:dyDescent="0.2">
      <c r="A47" s="285"/>
      <c r="B47" s="409" t="s">
        <v>179</v>
      </c>
    </row>
    <row r="48" spans="1:2" x14ac:dyDescent="0.2">
      <c r="A48" s="431">
        <v>5</v>
      </c>
      <c r="B48" s="432" t="s">
        <v>180</v>
      </c>
    </row>
    <row r="49" spans="1:2" ht="25.5" x14ac:dyDescent="0.2">
      <c r="A49" s="333"/>
      <c r="B49" s="409" t="s">
        <v>181</v>
      </c>
    </row>
    <row r="50" spans="1:2" x14ac:dyDescent="0.2">
      <c r="A50" s="333"/>
      <c r="B50" s="409" t="s">
        <v>182</v>
      </c>
    </row>
    <row r="51" spans="1:2" ht="51" x14ac:dyDescent="0.2">
      <c r="A51" s="333">
        <v>5.0999999999999996</v>
      </c>
      <c r="B51" s="409" t="s">
        <v>183</v>
      </c>
    </row>
    <row r="52" spans="1:2" ht="38.25" x14ac:dyDescent="0.2">
      <c r="A52" s="333">
        <v>5.2</v>
      </c>
      <c r="B52" s="409" t="s">
        <v>184</v>
      </c>
    </row>
    <row r="53" spans="1:2" ht="38.25" x14ac:dyDescent="0.2">
      <c r="A53" s="333">
        <v>5.3</v>
      </c>
      <c r="B53" s="409" t="s">
        <v>185</v>
      </c>
    </row>
    <row r="54" spans="1:2" ht="25.5" x14ac:dyDescent="0.2">
      <c r="A54" s="333">
        <v>5.4</v>
      </c>
      <c r="B54" s="409" t="s">
        <v>186</v>
      </c>
    </row>
    <row r="55" spans="1:2" ht="38.25" x14ac:dyDescent="0.2">
      <c r="A55" s="333">
        <v>5.5</v>
      </c>
      <c r="B55" s="409" t="s">
        <v>187</v>
      </c>
    </row>
    <row r="56" spans="1:2" x14ac:dyDescent="0.2">
      <c r="A56" s="431">
        <v>6</v>
      </c>
      <c r="B56" s="432" t="s">
        <v>188</v>
      </c>
    </row>
    <row r="57" spans="1:2" x14ac:dyDescent="0.2">
      <c r="A57" s="333"/>
      <c r="B57" s="409" t="s">
        <v>189</v>
      </c>
    </row>
    <row r="58" spans="1:2" ht="63.75" x14ac:dyDescent="0.2">
      <c r="A58" s="333"/>
      <c r="B58" s="409" t="s">
        <v>190</v>
      </c>
    </row>
    <row r="59" spans="1:2" x14ac:dyDescent="0.2">
      <c r="A59" s="431">
        <v>7</v>
      </c>
      <c r="B59" s="432" t="s">
        <v>191</v>
      </c>
    </row>
    <row r="60" spans="1:2" ht="38.25" x14ac:dyDescent="0.2">
      <c r="A60" s="333"/>
      <c r="B60" s="409" t="s">
        <v>192</v>
      </c>
    </row>
    <row r="61" spans="1:2" ht="25.5" x14ac:dyDescent="0.2">
      <c r="A61" s="333"/>
      <c r="B61" s="409" t="s">
        <v>193</v>
      </c>
    </row>
    <row r="62" spans="1:2" ht="25.5" x14ac:dyDescent="0.2">
      <c r="A62" s="333"/>
      <c r="B62" s="409" t="s">
        <v>194</v>
      </c>
    </row>
    <row r="63" spans="1:2" ht="25.5" x14ac:dyDescent="0.2">
      <c r="A63" s="333"/>
      <c r="B63" s="409" t="s">
        <v>195</v>
      </c>
    </row>
    <row r="64" spans="1:2" ht="25.5" x14ac:dyDescent="0.2">
      <c r="A64" s="333"/>
      <c r="B64" s="409" t="s">
        <v>196</v>
      </c>
    </row>
    <row r="65" spans="1:2" ht="132.75" customHeight="1" x14ac:dyDescent="0.2">
      <c r="A65" s="333">
        <v>7.01</v>
      </c>
      <c r="B65" s="409" t="s">
        <v>197</v>
      </c>
    </row>
    <row r="66" spans="1:2" ht="76.5" x14ac:dyDescent="0.2">
      <c r="A66" s="333">
        <f>A65+0.01</f>
        <v>7.02</v>
      </c>
      <c r="B66" s="409" t="s">
        <v>198</v>
      </c>
    </row>
    <row r="67" spans="1:2" ht="63.75" x14ac:dyDescent="0.2">
      <c r="A67" s="333">
        <f t="shared" ref="A67:A76" si="1">A66+0.01</f>
        <v>7.0299999999999994</v>
      </c>
      <c r="B67" s="409" t="s">
        <v>199</v>
      </c>
    </row>
    <row r="68" spans="1:2" ht="89.25" x14ac:dyDescent="0.2">
      <c r="A68" s="333">
        <f t="shared" si="1"/>
        <v>7.0399999999999991</v>
      </c>
      <c r="B68" s="409" t="s">
        <v>200</v>
      </c>
    </row>
    <row r="69" spans="1:2" ht="102" x14ac:dyDescent="0.2">
      <c r="A69" s="333">
        <f t="shared" si="1"/>
        <v>7.0499999999999989</v>
      </c>
      <c r="B69" s="409" t="s">
        <v>201</v>
      </c>
    </row>
    <row r="70" spans="1:2" ht="38.25" x14ac:dyDescent="0.2">
      <c r="A70" s="333">
        <f t="shared" si="1"/>
        <v>7.0599999999999987</v>
      </c>
      <c r="B70" s="409" t="s">
        <v>202</v>
      </c>
    </row>
    <row r="71" spans="1:2" ht="51" x14ac:dyDescent="0.2">
      <c r="A71" s="333">
        <f t="shared" si="1"/>
        <v>7.0699999999999985</v>
      </c>
      <c r="B71" s="409" t="s">
        <v>203</v>
      </c>
    </row>
    <row r="72" spans="1:2" ht="51" x14ac:dyDescent="0.2">
      <c r="A72" s="333">
        <f t="shared" si="1"/>
        <v>7.0799999999999983</v>
      </c>
      <c r="B72" s="409" t="s">
        <v>204</v>
      </c>
    </row>
    <row r="73" spans="1:2" ht="38.25" x14ac:dyDescent="0.2">
      <c r="A73" s="333">
        <f t="shared" si="1"/>
        <v>7.0899999999999981</v>
      </c>
      <c r="B73" s="409" t="s">
        <v>205</v>
      </c>
    </row>
    <row r="74" spans="1:2" ht="63.75" x14ac:dyDescent="0.2">
      <c r="A74" s="365">
        <f t="shared" si="1"/>
        <v>7.0999999999999979</v>
      </c>
      <c r="B74" s="413" t="s">
        <v>206</v>
      </c>
    </row>
    <row r="75" spans="1:2" ht="51" x14ac:dyDescent="0.2">
      <c r="A75" s="365">
        <f t="shared" si="1"/>
        <v>7.1099999999999977</v>
      </c>
      <c r="B75" s="409" t="s">
        <v>207</v>
      </c>
    </row>
    <row r="76" spans="1:2" ht="38.25" x14ac:dyDescent="0.2">
      <c r="A76" s="365">
        <f t="shared" si="1"/>
        <v>7.1199999999999974</v>
      </c>
      <c r="B76" s="409" t="s">
        <v>208</v>
      </c>
    </row>
    <row r="77" spans="1:2" ht="136.5" customHeight="1" x14ac:dyDescent="0.2">
      <c r="A77" s="365"/>
      <c r="B77" s="409" t="s">
        <v>209</v>
      </c>
    </row>
    <row r="78" spans="1:2" x14ac:dyDescent="0.2">
      <c r="A78" s="431">
        <v>8</v>
      </c>
      <c r="B78" s="432" t="s">
        <v>210</v>
      </c>
    </row>
    <row r="79" spans="1:2" ht="51" x14ac:dyDescent="0.2">
      <c r="A79" s="333"/>
      <c r="B79" s="409" t="s">
        <v>211</v>
      </c>
    </row>
    <row r="80" spans="1:2" ht="25.5" x14ac:dyDescent="0.2">
      <c r="A80" s="333"/>
      <c r="B80" s="409" t="s">
        <v>212</v>
      </c>
    </row>
    <row r="81" spans="1:4" x14ac:dyDescent="0.2">
      <c r="A81" s="285"/>
      <c r="B81" s="409" t="s">
        <v>213</v>
      </c>
    </row>
    <row r="82" spans="1:4" x14ac:dyDescent="0.2">
      <c r="A82" s="433"/>
      <c r="B82" s="426" t="s">
        <v>214</v>
      </c>
    </row>
    <row r="83" spans="1:4" x14ac:dyDescent="0.2">
      <c r="A83" s="3">
        <v>9</v>
      </c>
      <c r="B83" s="414" t="s">
        <v>215</v>
      </c>
    </row>
    <row r="84" spans="1:4" ht="25.5" x14ac:dyDescent="0.2">
      <c r="B84" s="415" t="s">
        <v>216</v>
      </c>
    </row>
    <row r="85" spans="1:4" x14ac:dyDescent="0.2">
      <c r="B85" s="415"/>
    </row>
    <row r="86" spans="1:4" x14ac:dyDescent="0.2">
      <c r="A86" s="429" t="s">
        <v>217</v>
      </c>
      <c r="B86" s="407" t="s">
        <v>218</v>
      </c>
    </row>
    <row r="87" spans="1:4" x14ac:dyDescent="0.2">
      <c r="A87" s="285"/>
      <c r="B87" s="409" t="s">
        <v>219</v>
      </c>
    </row>
    <row r="88" spans="1:4" x14ac:dyDescent="0.2">
      <c r="A88" s="285"/>
      <c r="B88" s="409" t="s">
        <v>220</v>
      </c>
    </row>
    <row r="89" spans="1:4" x14ac:dyDescent="0.2">
      <c r="A89" s="285"/>
      <c r="B89" s="409" t="s">
        <v>221</v>
      </c>
    </row>
    <row r="90" spans="1:4" x14ac:dyDescent="0.2">
      <c r="A90" s="285"/>
      <c r="B90" s="410"/>
    </row>
    <row r="91" spans="1:4" ht="15" x14ac:dyDescent="0.2">
      <c r="A91" s="430" t="s">
        <v>222</v>
      </c>
      <c r="B91" s="410"/>
    </row>
    <row r="92" spans="1:4" ht="51" x14ac:dyDescent="0.2">
      <c r="A92" s="428" t="s">
        <v>223</v>
      </c>
      <c r="B92" s="418" t="s">
        <v>224</v>
      </c>
    </row>
    <row r="93" spans="1:4" ht="38.25" x14ac:dyDescent="0.2">
      <c r="A93" s="428" t="s">
        <v>225</v>
      </c>
      <c r="B93" s="418" t="s">
        <v>226</v>
      </c>
    </row>
    <row r="94" spans="1:4" ht="25.5" x14ac:dyDescent="0.2">
      <c r="A94" s="428" t="s">
        <v>227</v>
      </c>
      <c r="B94" s="418" t="s">
        <v>228</v>
      </c>
      <c r="D94" s="514" t="s">
        <v>229</v>
      </c>
    </row>
    <row r="95" spans="1:4" ht="51" x14ac:dyDescent="0.2">
      <c r="A95" s="418" t="s">
        <v>230</v>
      </c>
      <c r="B95" s="418" t="s">
        <v>231</v>
      </c>
    </row>
    <row r="96" spans="1:4" ht="38.25" x14ac:dyDescent="0.2">
      <c r="A96" s="428" t="s">
        <v>232</v>
      </c>
      <c r="B96" s="418" t="s">
        <v>233</v>
      </c>
    </row>
    <row r="97" spans="1:4" ht="63.75" x14ac:dyDescent="0.2">
      <c r="A97" s="428" t="s">
        <v>234</v>
      </c>
      <c r="B97" s="418" t="s">
        <v>235</v>
      </c>
    </row>
    <row r="98" spans="1:4" x14ac:dyDescent="0.2">
      <c r="B98"/>
      <c r="D98" s="514" t="s">
        <v>229</v>
      </c>
    </row>
    <row r="99" spans="1:4" x14ac:dyDescent="0.2">
      <c r="B99"/>
    </row>
    <row r="100" spans="1:4" x14ac:dyDescent="0.2">
      <c r="B100"/>
    </row>
    <row r="102" spans="1:4" ht="15.75" x14ac:dyDescent="0.25">
      <c r="B102" s="171"/>
    </row>
    <row r="103" spans="1:4" ht="15" x14ac:dyDescent="0.2">
      <c r="B103" s="306"/>
    </row>
    <row r="104" spans="1:4" ht="15" x14ac:dyDescent="0.2">
      <c r="B104" s="306"/>
    </row>
    <row r="105" spans="1:4" ht="15" x14ac:dyDescent="0.25">
      <c r="B105" s="307"/>
    </row>
    <row r="107" spans="1:4" x14ac:dyDescent="0.2">
      <c r="B107" s="239"/>
    </row>
  </sheetData>
  <sheetProtection algorithmName="SHA-512" hashValue="11TUh9u6yLcIUbjehjsCUojizVuYMUA4VAkBz/eMl4NUl14ElHOJv8Sea9ajeqYZJ8xWKbBOfzo415iOYYkpHQ==" saltValue="8prQm9YlL5XrrdTY7K+5uw==" spinCount="100000" sheet="1" objects="1" scenarios="1"/>
  <hyperlinks>
    <hyperlink ref="A15" location="Control!A1" display="CONTROL INPUT" xr:uid="{00000000-0004-0000-0100-000000000000}"/>
    <hyperlink ref="A13" location="Instructions!A1" display="INSTRUCTIONS" xr:uid="{00000000-0004-0000-0100-000001000000}"/>
    <hyperlink ref="A16" location="'Structure Groups'!A1" display="STRUCTURE GROUPS" xr:uid="{00000000-0004-0000-0100-000002000000}"/>
    <hyperlink ref="A17" location="'Weather Cases'!A1" display="WEATHER CASES" xr:uid="{00000000-0004-0000-0100-000003000000}"/>
    <hyperlink ref="A19" location="'Load Criteria'!A1" display="LOAD CRITERIA" xr:uid="{00000000-0004-0000-0100-000004000000}"/>
    <hyperlink ref="A14" location="'Staking Table'!A1" display="STAKING TABLE" xr:uid="{00000000-0004-0000-0100-000005000000}"/>
    <hyperlink ref="A20" location="'pls-cadd folders'!A1" display="PLS-CADD" xr:uid="{00000000-0004-0000-0100-000006000000}"/>
    <hyperlink ref="A18" location="Cables!A1" display="CABLES" xr:uid="{00000000-0004-0000-0100-000007000000}"/>
  </hyperlinks>
  <pageMargins left="0.70866141732283472" right="0.70866141732283472" top="0.74803149606299213" bottom="0.74803149606299213" header="0.31496062992125984" footer="0.31496062992125984"/>
  <pageSetup paperSize="9" scale="64" fitToHeight="5"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pageSetUpPr fitToPage="1"/>
  </sheetPr>
  <dimension ref="A1:G25"/>
  <sheetViews>
    <sheetView showGridLines="0" showRowColHeaders="0" zoomScaleNormal="100" workbookViewId="0">
      <selection activeCell="D16" sqref="D16"/>
    </sheetView>
  </sheetViews>
  <sheetFormatPr defaultColWidth="8.85546875" defaultRowHeight="12.75" x14ac:dyDescent="0.2"/>
  <cols>
    <col min="1" max="1" width="8" customWidth="1"/>
    <col min="2" max="2" width="8.5703125" customWidth="1"/>
    <col min="3" max="3" width="23" customWidth="1"/>
    <col min="4" max="4" width="38.28515625" customWidth="1"/>
    <col min="5" max="5" width="89.42578125" customWidth="1"/>
    <col min="6" max="6" width="57.28515625" customWidth="1"/>
  </cols>
  <sheetData>
    <row r="1" spans="1:7" x14ac:dyDescent="0.2">
      <c r="A1" s="484" t="s">
        <v>123</v>
      </c>
      <c r="C1" s="292" t="s">
        <v>236</v>
      </c>
      <c r="D1" s="292" t="s">
        <v>143</v>
      </c>
      <c r="E1" s="278" t="s">
        <v>147</v>
      </c>
      <c r="F1" s="278" t="s">
        <v>137</v>
      </c>
    </row>
    <row r="2" spans="1:7" ht="23.25" x14ac:dyDescent="0.35">
      <c r="A2" s="193" t="s">
        <v>237</v>
      </c>
      <c r="C2" s="1"/>
      <c r="D2" s="1"/>
      <c r="E2" s="483" t="str">
        <f>Control!$B$4&amp;" "&amp;Control!$D$4&amp;" Rev "&amp;Control!$H$4</f>
        <v>GIP_Standard T1-T3 Rev A</v>
      </c>
      <c r="F2" t="str">
        <f>Control!$B$3</f>
        <v>PLS-CADD WC &amp; LC Generator Master Rev H.xlsx</v>
      </c>
    </row>
    <row r="3" spans="1:7" x14ac:dyDescent="0.2">
      <c r="B3" s="3"/>
      <c r="C3" s="1"/>
      <c r="D3" s="1"/>
      <c r="E3" s="239" t="s">
        <v>238</v>
      </c>
    </row>
    <row r="4" spans="1:7" ht="15" x14ac:dyDescent="0.25">
      <c r="B4" s="519">
        <f>'Staking Table'!I5</f>
        <v>800</v>
      </c>
      <c r="C4" s="214" t="s">
        <v>239</v>
      </c>
      <c r="E4" s="3" t="s">
        <v>240</v>
      </c>
    </row>
    <row r="5" spans="1:7" ht="15" x14ac:dyDescent="0.25">
      <c r="B5" s="440">
        <v>1</v>
      </c>
      <c r="C5" s="214" t="s">
        <v>241</v>
      </c>
      <c r="D5" s="213"/>
      <c r="E5" s="239"/>
    </row>
    <row r="6" spans="1:7" ht="15" x14ac:dyDescent="0.25">
      <c r="A6" s="441" t="s">
        <v>242</v>
      </c>
      <c r="B6" s="335"/>
      <c r="C6" s="335"/>
      <c r="D6" s="336"/>
      <c r="E6" s="3" t="s">
        <v>243</v>
      </c>
    </row>
    <row r="7" spans="1:7" ht="17.45" customHeight="1" x14ac:dyDescent="0.25">
      <c r="A7" s="597" t="s">
        <v>244</v>
      </c>
      <c r="B7" s="597"/>
      <c r="C7" s="228" t="s">
        <v>245</v>
      </c>
      <c r="D7" s="229"/>
      <c r="E7" s="230"/>
      <c r="F7" s="328"/>
    </row>
    <row r="8" spans="1:7" ht="15.75" x14ac:dyDescent="0.25">
      <c r="A8" s="527" t="s">
        <v>246</v>
      </c>
      <c r="B8" s="527" t="s">
        <v>247</v>
      </c>
      <c r="C8" s="232" t="s">
        <v>248</v>
      </c>
      <c r="D8" s="232" t="s">
        <v>249</v>
      </c>
      <c r="E8" s="233" t="s">
        <v>250</v>
      </c>
      <c r="F8" s="231" t="s">
        <v>251</v>
      </c>
    </row>
    <row r="9" spans="1:7" x14ac:dyDescent="0.2">
      <c r="A9" s="334"/>
      <c r="B9" s="334"/>
      <c r="C9" s="215"/>
      <c r="D9" s="215"/>
      <c r="E9" s="216"/>
      <c r="F9" s="217"/>
    </row>
    <row r="10" spans="1:7" ht="19.899999999999999" customHeight="1" x14ac:dyDescent="0.2">
      <c r="A10" s="209"/>
      <c r="B10" s="329" t="s">
        <v>22</v>
      </c>
      <c r="C10" s="218" t="s">
        <v>252</v>
      </c>
      <c r="D10" s="218" t="s">
        <v>253</v>
      </c>
      <c r="E10" s="219" t="s">
        <v>254</v>
      </c>
      <c r="F10" s="220" t="s">
        <v>255</v>
      </c>
    </row>
    <row r="11" spans="1:7" ht="19.899999999999999" customHeight="1" x14ac:dyDescent="0.2">
      <c r="A11" s="209"/>
      <c r="B11" s="330" t="s">
        <v>256</v>
      </c>
      <c r="C11" s="221" t="s">
        <v>257</v>
      </c>
      <c r="D11" s="222" t="s">
        <v>258</v>
      </c>
      <c r="E11" s="223" t="s">
        <v>259</v>
      </c>
      <c r="F11" s="220" t="s">
        <v>260</v>
      </c>
    </row>
    <row r="12" spans="1:7" ht="19.899999999999999" customHeight="1" x14ac:dyDescent="0.2">
      <c r="A12" s="331">
        <v>600</v>
      </c>
      <c r="B12" s="331">
        <v>800</v>
      </c>
      <c r="C12" s="224" t="str">
        <f>IF(B12="","","GL Max "&amp;B12&amp;"m")</f>
        <v>GL Max 800m</v>
      </c>
      <c r="D12" s="225" t="str">
        <f>IF(B12="","","GL not more than "&amp;B12&amp;"m")</f>
        <v>GL not more than 800m</v>
      </c>
      <c r="E12" s="223" t="str">
        <f>IF(B12="","","Automatic: str. base elevation inside "&amp;TEXT(A12,"0.00")&amp;" to "&amp;TEXT(B12,"0.00")&amp;" (m)")</f>
        <v>Automatic: str. base elevation inside 600.00 to 800.00 (m)</v>
      </c>
      <c r="F12" s="226" t="str">
        <f>IF(B12="","","For elevation dependent load cases")</f>
        <v>For elevation dependent load cases</v>
      </c>
      <c r="G12" s="227" t="s">
        <v>261</v>
      </c>
    </row>
    <row r="13" spans="1:7" ht="19.899999999999999" customHeight="1" x14ac:dyDescent="0.2">
      <c r="A13" s="331" t="str">
        <f>IF(B5&gt;1,B12,"")</f>
        <v/>
      </c>
      <c r="B13" s="331" t="str">
        <f>IF(B5&gt;1,MROUND(A13+B4/B5,100),"")</f>
        <v/>
      </c>
      <c r="C13" s="224" t="str">
        <f t="shared" ref="C13:C14" si="0">IF(B13="","","GL Max "&amp;B13&amp;"m")</f>
        <v/>
      </c>
      <c r="D13" s="225" t="str">
        <f t="shared" ref="D13:D14" si="1">IF(B13="","","GL not more than "&amp;B13&amp;"m")</f>
        <v/>
      </c>
      <c r="E13" s="223" t="str">
        <f>IF(B13="","","Automatic: str. base elevation inside "&amp;TEXT(A13,"0.00")&amp;" to "&amp;TEXT(B13,"0.00")&amp;" (m)")</f>
        <v/>
      </c>
      <c r="F13" s="226" t="str">
        <f t="shared" ref="F13:F14" si="2">IF(B13="","","For elevation dependent load cases")</f>
        <v/>
      </c>
      <c r="G13" s="227" t="s">
        <v>261</v>
      </c>
    </row>
    <row r="14" spans="1:7" ht="19.899999999999999" customHeight="1" thickBot="1" x14ac:dyDescent="0.25">
      <c r="A14" s="337" t="str">
        <f>IF(B5&gt;2,B13,"")</f>
        <v/>
      </c>
      <c r="B14" s="337"/>
      <c r="C14" s="234" t="str">
        <f t="shared" si="0"/>
        <v/>
      </c>
      <c r="D14" s="235" t="str">
        <f t="shared" si="1"/>
        <v/>
      </c>
      <c r="E14" s="236" t="str">
        <f>IF(B14="","","Automatic: str. base elevation inside "&amp;TEXT(A14,"0.00")&amp;" to "&amp;TEXT(B14,"0.00")&amp;" (m)")</f>
        <v/>
      </c>
      <c r="F14" s="237" t="str">
        <f t="shared" si="2"/>
        <v/>
      </c>
      <c r="G14" s="227" t="s">
        <v>261</v>
      </c>
    </row>
    <row r="15" spans="1:7" ht="19.899999999999999" customHeight="1" x14ac:dyDescent="0.2">
      <c r="A15" s="339"/>
      <c r="B15" s="340" t="s">
        <v>256</v>
      </c>
      <c r="C15" s="341" t="s">
        <v>262</v>
      </c>
      <c r="D15" s="342" t="s">
        <v>263</v>
      </c>
      <c r="E15" s="343" t="s">
        <v>264</v>
      </c>
      <c r="F15" s="344" t="s">
        <v>265</v>
      </c>
    </row>
    <row r="16" spans="1:7" ht="19.899999999999999" customHeight="1" x14ac:dyDescent="0.2">
      <c r="A16" s="131">
        <f t="shared" ref="A16:B18" si="3">A12</f>
        <v>600</v>
      </c>
      <c r="B16" s="131">
        <f t="shared" si="3"/>
        <v>800</v>
      </c>
      <c r="C16" s="224" t="str">
        <f>IF(B16="","","Stop GL Max "&amp;B16&amp;"m")</f>
        <v>Stop GL Max 800m</v>
      </c>
      <c r="D16" s="225" t="str">
        <f>IF(B16="","","Stop with GL up to "&amp;B16&amp;"m")</f>
        <v>Stop with GL up to 800m</v>
      </c>
      <c r="E16" s="223" t="str">
        <f>IF(B16="","","Automatic: str. base elevation inside "&amp;TEXT(A16,"0.00")&amp;" to "&amp;TEXT(B16,"0.00")&amp;" (m) and inside all following groups '"&amp;$C$15&amp;"'")</f>
        <v>Automatic: str. base elevation inside 600.00 to 800.00 (m) and inside all following groups 'Stop'</v>
      </c>
      <c r="F16" s="226" t="str">
        <f>IF(B16="","","For height dependent FC cases restricted to stop structures")</f>
        <v>For height dependent FC cases restricted to stop structures</v>
      </c>
      <c r="G16" s="227" t="s">
        <v>261</v>
      </c>
    </row>
    <row r="17" spans="1:7" ht="19.899999999999999" customHeight="1" x14ac:dyDescent="0.2">
      <c r="A17" s="131" t="str">
        <f t="shared" si="3"/>
        <v/>
      </c>
      <c r="B17" s="131" t="str">
        <f t="shared" si="3"/>
        <v/>
      </c>
      <c r="C17" s="224" t="str">
        <f t="shared" ref="C17:C18" si="4">IF(B17="","","Stop GL Max "&amp;B17&amp;"m")</f>
        <v/>
      </c>
      <c r="D17" s="225" t="str">
        <f t="shared" ref="D17:D18" si="5">IF(B17="","","Stop with GL up to "&amp;B17&amp;"m")</f>
        <v/>
      </c>
      <c r="E17" s="223" t="str">
        <f t="shared" ref="E17:E18" si="6">IF(B17="","","Automatic: str. base elevation inside "&amp;TEXT(A17,"0.00")&amp;" to "&amp;TEXT(B17,"0.00")&amp;" (m) and inside all following groups '"&amp;$C$15&amp;"'")</f>
        <v/>
      </c>
      <c r="F17" s="226" t="str">
        <f t="shared" ref="F17:F18" si="7">IF(B17="","","For height dependent FC cases restricted to stop structures")</f>
        <v/>
      </c>
      <c r="G17" s="227" t="s">
        <v>261</v>
      </c>
    </row>
    <row r="18" spans="1:7" ht="19.899999999999999" customHeight="1" thickBot="1" x14ac:dyDescent="0.25">
      <c r="A18" s="345" t="str">
        <f t="shared" si="3"/>
        <v/>
      </c>
      <c r="B18" s="345"/>
      <c r="C18" s="346" t="str">
        <f t="shared" si="4"/>
        <v/>
      </c>
      <c r="D18" s="347" t="str">
        <f t="shared" si="5"/>
        <v/>
      </c>
      <c r="E18" s="348" t="str">
        <f t="shared" si="6"/>
        <v/>
      </c>
      <c r="F18" s="349" t="str">
        <f t="shared" si="7"/>
        <v/>
      </c>
      <c r="G18" s="227" t="s">
        <v>261</v>
      </c>
    </row>
    <row r="19" spans="1:7" ht="19.899999999999999" customHeight="1" x14ac:dyDescent="0.2">
      <c r="A19" s="338"/>
      <c r="B19" s="238"/>
      <c r="C19" s="397"/>
      <c r="D19" s="398"/>
      <c r="E19" s="399"/>
      <c r="F19" s="400" t="s">
        <v>266</v>
      </c>
    </row>
    <row r="20" spans="1:7" ht="19.899999999999999" customHeight="1" x14ac:dyDescent="0.2">
      <c r="A20" s="209"/>
      <c r="B20" s="5"/>
      <c r="C20" s="401"/>
      <c r="D20" s="402"/>
      <c r="E20" s="403"/>
      <c r="F20" s="404" t="s">
        <v>266</v>
      </c>
    </row>
    <row r="21" spans="1:7" ht="19.899999999999999" customHeight="1" x14ac:dyDescent="0.2">
      <c r="A21" s="209"/>
      <c r="B21" s="5"/>
      <c r="C21" s="401"/>
      <c r="D21" s="402"/>
      <c r="E21" s="403"/>
      <c r="F21" s="404" t="s">
        <v>266</v>
      </c>
    </row>
    <row r="22" spans="1:7" ht="19.899999999999999" customHeight="1" x14ac:dyDescent="0.2">
      <c r="A22" s="209"/>
      <c r="B22" s="5"/>
      <c r="C22" s="401"/>
      <c r="D22" s="402"/>
      <c r="E22" s="403"/>
      <c r="F22" s="404" t="s">
        <v>266</v>
      </c>
    </row>
    <row r="23" spans="1:7" ht="19.899999999999999" customHeight="1" x14ac:dyDescent="0.2">
      <c r="A23" s="209"/>
      <c r="B23" s="5"/>
      <c r="C23" s="401"/>
      <c r="D23" s="402"/>
      <c r="E23" s="403"/>
      <c r="F23" s="404" t="s">
        <v>266</v>
      </c>
    </row>
    <row r="24" spans="1:7" ht="19.899999999999999" customHeight="1" x14ac:dyDescent="0.2">
      <c r="A24" s="209"/>
      <c r="B24" s="5"/>
      <c r="C24" s="401"/>
      <c r="D24" s="402"/>
      <c r="E24" s="403"/>
      <c r="F24" s="404" t="s">
        <v>266</v>
      </c>
    </row>
    <row r="25" spans="1:7" ht="19.899999999999999" customHeight="1" x14ac:dyDescent="0.2">
      <c r="A25" s="209"/>
      <c r="B25" s="5"/>
      <c r="C25" s="401"/>
      <c r="D25" s="402"/>
      <c r="E25" s="403"/>
      <c r="F25" s="404" t="s">
        <v>266</v>
      </c>
    </row>
  </sheetData>
  <sheetProtection autoFilter="0"/>
  <autoFilter ref="B9:F25" xr:uid="{00000000-0009-0000-0000-000003000000}"/>
  <mergeCells count="1">
    <mergeCell ref="A7:B7"/>
  </mergeCells>
  <dataValidations count="2">
    <dataValidation type="list" allowBlank="1" showInputMessage="1" showErrorMessage="1" sqref="B4" xr:uid="{00000000-0002-0000-0300-000000000000}">
      <formula1>"100,200,300,400,500,600,700,800,900,1000,1100,1200,1300,1400,1500,1600,1700,1800,,1900,2000"</formula1>
    </dataValidation>
    <dataValidation type="list" allowBlank="1" showInputMessage="1" showErrorMessage="1" sqref="B5" xr:uid="{00000000-0002-0000-0300-000001000000}">
      <formula1>"1,2,3"</formula1>
    </dataValidation>
  </dataValidations>
  <hyperlinks>
    <hyperlink ref="C1" location="Control!A1" display="CONTROL" xr:uid="{00000000-0004-0000-0300-000000000000}"/>
    <hyperlink ref="A1" location="Instructions!A1" display="INSTRUCTIONS" xr:uid="{00000000-0004-0000-0300-000001000000}"/>
    <hyperlink ref="D1" location="'Weather Cases'!A1" display="WEATHER CASES" xr:uid="{00000000-0004-0000-0300-000002000000}"/>
    <hyperlink ref="F1" location="'Staking Table'!A1" display="STAKING TABLE" xr:uid="{00000000-0004-0000-0300-000003000000}"/>
    <hyperlink ref="E1" location="'Load Criteria'!A1" display="LOAD CRITERIA" xr:uid="{00000000-0004-0000-0300-000004000000}"/>
  </hyperlinks>
  <pageMargins left="0.70866141732283472" right="0.70866141732283472" top="0.74803149606299213" bottom="0.74803149606299213" header="0.31496062992125984" footer="0.31496062992125984"/>
  <pageSetup paperSize="9" scale="59" orientation="landscape" horizontalDpi="4294967292" r:id="rId1"/>
  <headerFooter>
    <oddHeader>&amp;L&amp;G&amp;C&amp;"Arial,Bold"&amp;12STRUCTURE GROUPS&amp;RPage &amp;P of &amp;N</oddHeader>
    <oddFooter>&amp;LAD - TE Lines&amp;C&amp;F : &amp;A&amp;R&amp;D</oddFooter>
  </headerFooter>
  <legacyDrawing r:id="rId2"/>
  <legacyDrawingHF r:id="rId3"/>
  <extLst>
    <ext xmlns:x14="http://schemas.microsoft.com/office/spreadsheetml/2009/9/main" uri="{78C0D931-6437-407d-A8EE-F0AAD7539E65}">
      <x14:conditionalFormattings>
        <x14:conditionalFormatting xmlns:xm="http://schemas.microsoft.com/office/excel/2006/main">
          <x14:cfRule type="expression" priority="1" id="{D57F854B-EC47-4610-9E9A-5B4E3090F74A}">
            <xm:f>Control!$D$26="Y"</xm:f>
            <x14:dxf>
              <numFmt numFmtId="179" formatCode=";;;"/>
            </x14:dxf>
          </x14:cfRule>
          <xm:sqref>A15:K18</xm:sqref>
        </x14:conditionalFormatting>
      </x14:conditionalFormatting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filterMode="1">
    <pageSetUpPr fitToPage="1"/>
  </sheetPr>
  <dimension ref="A1:AB94"/>
  <sheetViews>
    <sheetView topLeftCell="A8" zoomScale="85" zoomScaleNormal="85" workbookViewId="0">
      <selection activeCell="A40" sqref="A40"/>
    </sheetView>
  </sheetViews>
  <sheetFormatPr defaultColWidth="8.85546875" defaultRowHeight="12.75" x14ac:dyDescent="0.2"/>
  <cols>
    <col min="1" max="1" width="35.7109375" customWidth="1"/>
    <col min="2" max="2" width="8.5703125" style="6" customWidth="1"/>
    <col min="3" max="3" width="9.42578125" customWidth="1"/>
    <col min="4" max="4" width="8.85546875" customWidth="1"/>
    <col min="5" max="5" width="6.85546875" customWidth="1"/>
    <col min="6" max="6" width="6.7109375" customWidth="1"/>
    <col min="7" max="7" width="7.85546875" customWidth="1"/>
    <col min="8" max="8" width="13.7109375" customWidth="1"/>
    <col min="13" max="18" width="7.7109375" customWidth="1"/>
    <col min="19" max="19" width="28.42578125" customWidth="1"/>
    <col min="20" max="20" width="11.28515625" customWidth="1"/>
    <col min="21" max="21" width="10.28515625" customWidth="1"/>
  </cols>
  <sheetData>
    <row r="1" spans="1:25" ht="15.75" x14ac:dyDescent="0.2">
      <c r="A1" s="442" t="s">
        <v>123</v>
      </c>
      <c r="B1" s="443"/>
      <c r="C1" s="444" t="s">
        <v>137</v>
      </c>
      <c r="D1" s="122"/>
      <c r="E1" s="444" t="s">
        <v>139</v>
      </c>
      <c r="F1" s="122"/>
      <c r="G1" s="122"/>
      <c r="H1" s="444" t="s">
        <v>141</v>
      </c>
      <c r="I1" s="122"/>
      <c r="J1" s="122"/>
      <c r="K1" s="444" t="s">
        <v>147</v>
      </c>
      <c r="L1" s="163"/>
      <c r="M1" s="163"/>
      <c r="N1" s="445" t="s">
        <v>149</v>
      </c>
    </row>
    <row r="2" spans="1:25" ht="24" thickBot="1" x14ac:dyDescent="0.4">
      <c r="A2" s="193" t="s">
        <v>267</v>
      </c>
      <c r="D2" s="193" t="str">
        <f>Control!$B$4&amp;" "&amp;Control!$D$4&amp;" Rev "&amp;Control!$H$4</f>
        <v>GIP_Standard T1-T3 Rev A</v>
      </c>
    </row>
    <row r="3" spans="1:25" ht="21.75" thickTop="1" thickBot="1" x14ac:dyDescent="0.35">
      <c r="A3" s="171"/>
      <c r="B3" s="446"/>
      <c r="C3" s="447"/>
      <c r="D3" s="122"/>
      <c r="E3" s="122"/>
      <c r="F3" s="122"/>
      <c r="G3" s="122"/>
      <c r="H3" s="448" t="s">
        <v>268</v>
      </c>
      <c r="I3" s="449">
        <f>Control!D22</f>
        <v>800</v>
      </c>
      <c r="J3" s="450" t="s">
        <v>269</v>
      </c>
      <c r="K3" s="451" t="str">
        <f>IF(Control!D5="Y","FOR VULNERABILITY ANALYSES","FOR DEFAULT TP.DL 12.01 ANALYSES")</f>
        <v>FOR DEFAULT TP.DL 12.01 ANALYSES</v>
      </c>
      <c r="L3" s="163"/>
      <c r="M3" s="163"/>
      <c r="P3" s="122"/>
      <c r="Q3" s="122"/>
      <c r="R3" s="122"/>
      <c r="S3" s="122"/>
      <c r="T3" s="122"/>
      <c r="U3" s="122"/>
      <c r="V3" s="122"/>
      <c r="W3" s="122"/>
    </row>
    <row r="4" spans="1:25" ht="15" thickTop="1" x14ac:dyDescent="0.2">
      <c r="A4" s="526" t="str">
        <f>Control!B3</f>
        <v>PLS-CADD WC &amp; LC Generator Master Rev H.xlsx</v>
      </c>
      <c r="D4" s="122"/>
      <c r="E4" s="453" t="s">
        <v>270</v>
      </c>
      <c r="F4" s="454"/>
      <c r="G4" s="316"/>
      <c r="H4" s="316"/>
      <c r="I4" s="316"/>
      <c r="J4" s="316"/>
      <c r="K4" s="317"/>
      <c r="L4" s="317"/>
      <c r="M4" s="317"/>
      <c r="N4" s="318"/>
      <c r="O4" s="318"/>
      <c r="P4" s="318"/>
      <c r="Q4" s="318"/>
      <c r="R4" s="318"/>
      <c r="S4" s="318"/>
      <c r="T4" s="318"/>
      <c r="V4" s="122"/>
      <c r="W4" s="122"/>
    </row>
    <row r="5" spans="1:25" ht="15.75" x14ac:dyDescent="0.2">
      <c r="A5" s="452"/>
      <c r="B5" s="452"/>
      <c r="C5" s="452"/>
      <c r="D5" s="122"/>
      <c r="E5" s="454"/>
      <c r="F5" s="455" t="s">
        <v>271</v>
      </c>
      <c r="G5" s="320"/>
      <c r="H5" s="320"/>
      <c r="I5" s="320"/>
      <c r="J5" s="320"/>
      <c r="K5" s="321"/>
      <c r="L5" s="321"/>
      <c r="M5" s="321"/>
      <c r="N5" s="322"/>
      <c r="O5" s="322"/>
      <c r="P5" s="322"/>
      <c r="Q5" s="322"/>
      <c r="R5" s="322"/>
      <c r="S5" s="322"/>
      <c r="T5" s="322"/>
      <c r="V5" s="122"/>
      <c r="W5" s="122"/>
    </row>
    <row r="6" spans="1:25" ht="16.5" thickBot="1" x14ac:dyDescent="0.25">
      <c r="B6" s="446"/>
      <c r="C6" s="447"/>
      <c r="D6" s="122"/>
      <c r="E6" s="316"/>
      <c r="F6" s="320"/>
      <c r="G6" s="456" t="s">
        <v>272</v>
      </c>
      <c r="H6" s="324"/>
      <c r="I6" s="324"/>
      <c r="J6" s="324"/>
      <c r="K6" s="325"/>
      <c r="L6" s="325"/>
      <c r="M6" s="325"/>
      <c r="N6" s="326"/>
      <c r="O6" s="324"/>
      <c r="P6" s="324"/>
      <c r="Q6" s="324"/>
      <c r="R6" s="324"/>
      <c r="S6" s="324"/>
      <c r="T6" s="324"/>
      <c r="U6" s="122"/>
      <c r="V6" s="122"/>
      <c r="W6" s="122"/>
      <c r="X6" s="122"/>
    </row>
    <row r="7" spans="1:25" ht="33.75" thickBot="1" x14ac:dyDescent="0.4">
      <c r="A7" s="457" t="s">
        <v>273</v>
      </c>
      <c r="B7" s="458"/>
      <c r="C7" s="459"/>
      <c r="D7" s="459"/>
      <c r="E7" s="199" t="s">
        <v>274</v>
      </c>
      <c r="F7" s="284"/>
      <c r="G7" s="196"/>
      <c r="H7" s="189" t="s">
        <v>275</v>
      </c>
      <c r="I7" s="183"/>
      <c r="J7" s="183"/>
      <c r="K7" s="183"/>
      <c r="L7" s="183"/>
      <c r="M7" s="183"/>
      <c r="N7" s="183"/>
      <c r="O7" s="183"/>
      <c r="P7" s="183"/>
      <c r="Q7" s="183"/>
      <c r="R7" s="183"/>
      <c r="S7" s="183"/>
      <c r="T7" s="184"/>
      <c r="U7" s="201"/>
      <c r="V7" s="1"/>
      <c r="W7" s="122"/>
      <c r="X7" s="122"/>
      <c r="Y7" s="122"/>
    </row>
    <row r="8" spans="1:25" ht="93.75" customHeight="1" thickBot="1" x14ac:dyDescent="0.25">
      <c r="A8" s="174" t="s">
        <v>276</v>
      </c>
      <c r="B8" s="175" t="s">
        <v>277</v>
      </c>
      <c r="C8" s="175" t="s">
        <v>278</v>
      </c>
      <c r="D8" s="175" t="s">
        <v>279</v>
      </c>
      <c r="E8" s="460" t="s">
        <v>280</v>
      </c>
      <c r="F8" s="461" t="s">
        <v>281</v>
      </c>
      <c r="G8" s="462" t="s">
        <v>282</v>
      </c>
      <c r="H8" s="185" t="s">
        <v>283</v>
      </c>
      <c r="I8" s="186" t="s">
        <v>284</v>
      </c>
      <c r="J8" s="187" t="s">
        <v>285</v>
      </c>
      <c r="K8" s="187" t="s">
        <v>286</v>
      </c>
      <c r="L8" s="187" t="s">
        <v>287</v>
      </c>
      <c r="M8" s="187" t="s">
        <v>288</v>
      </c>
      <c r="N8" s="187" t="s">
        <v>289</v>
      </c>
      <c r="O8" s="187" t="s">
        <v>290</v>
      </c>
      <c r="P8" s="187" t="s">
        <v>291</v>
      </c>
      <c r="Q8" s="187" t="s">
        <v>292</v>
      </c>
      <c r="R8" s="187" t="s">
        <v>293</v>
      </c>
      <c r="S8" s="187" t="s">
        <v>294</v>
      </c>
      <c r="T8" s="188" t="s">
        <v>295</v>
      </c>
      <c r="U8" s="202"/>
      <c r="V8" s="166" t="s">
        <v>296</v>
      </c>
      <c r="W8" s="122"/>
      <c r="X8" s="122"/>
      <c r="Y8" s="122"/>
    </row>
    <row r="9" spans="1:25" ht="15" hidden="1" x14ac:dyDescent="0.2">
      <c r="A9" s="463" t="s">
        <v>297</v>
      </c>
      <c r="B9" s="464"/>
      <c r="C9" s="464"/>
      <c r="D9" s="465"/>
      <c r="E9" s="466" t="s">
        <v>22</v>
      </c>
      <c r="F9" s="467" t="s">
        <v>22</v>
      </c>
      <c r="G9" s="468" t="s">
        <v>22</v>
      </c>
      <c r="H9" s="469"/>
      <c r="I9" s="470"/>
      <c r="J9" s="470"/>
      <c r="K9" s="470"/>
      <c r="L9" s="470"/>
      <c r="M9" s="470"/>
      <c r="N9" s="470"/>
      <c r="O9" s="470"/>
      <c r="P9" s="470"/>
      <c r="Q9" s="470"/>
      <c r="R9" s="470"/>
      <c r="S9" s="470"/>
      <c r="T9" s="470"/>
      <c r="U9" s="202"/>
      <c r="V9" s="122"/>
      <c r="W9" s="122"/>
      <c r="X9" s="122"/>
      <c r="Y9" s="122"/>
    </row>
    <row r="10" spans="1:25" s="6" customFormat="1" ht="14.25" hidden="1" x14ac:dyDescent="0.2">
      <c r="A10" s="200" t="s">
        <v>298</v>
      </c>
      <c r="B10" s="165" t="s">
        <v>299</v>
      </c>
      <c r="C10" s="164">
        <v>1000</v>
      </c>
      <c r="D10" s="164">
        <v>1000</v>
      </c>
      <c r="E10" s="319" t="str">
        <f>IF(D10=Selected_Line_Reliability,1,IF(Control!$D$5="Y",1,"-"))</f>
        <v>-</v>
      </c>
      <c r="F10" s="323" t="str">
        <f>LEFT(Control!$D$23,1)</f>
        <v>A</v>
      </c>
      <c r="G10" s="327" t="s">
        <v>118</v>
      </c>
      <c r="H10" s="176" t="str">
        <f>IF(G10=0,B10&amp;TEXT(C10,"0000"),B10&amp;TEXT(C10,"0000")&amp;IF(C10="-","","_"&amp;LEFT(Control!$D$23,1)&amp;LEFT(Control!$D$22,LEN(Control!$D$22)-2)))</f>
        <v>MW1000_A8</v>
      </c>
      <c r="I10" s="177">
        <v>0.6</v>
      </c>
      <c r="J10" s="178">
        <f>INDEX(Ref!$D$7:$G$40,MATCH('Weather Cases'!D10,Ref!$C$7:$C$40,0),MATCH(LEFT(Control!$D$23,1)&amp;"MW",Ref!$D$6:$G$6,0))</f>
        <v>1</v>
      </c>
      <c r="K10" s="178">
        <f>J10^2*0.6</f>
        <v>0.6</v>
      </c>
      <c r="L10" s="473">
        <v>0</v>
      </c>
      <c r="M10" s="179">
        <v>0</v>
      </c>
      <c r="N10" s="179">
        <v>0</v>
      </c>
      <c r="O10" s="179">
        <f>Ref!$L$55</f>
        <v>5</v>
      </c>
      <c r="P10" s="204" t="s">
        <v>300</v>
      </c>
      <c r="Q10" s="179">
        <v>1</v>
      </c>
      <c r="R10" s="204" t="s">
        <v>300</v>
      </c>
      <c r="S10" s="197" t="s">
        <v>301</v>
      </c>
      <c r="T10" s="181">
        <f>IF(L10&gt;0,1.2,1)</f>
        <v>1</v>
      </c>
      <c r="U10" s="203"/>
      <c r="V10" s="166" t="s">
        <v>302</v>
      </c>
      <c r="W10" s="172" t="s">
        <v>303</v>
      </c>
      <c r="X10" s="166"/>
      <c r="Y10" s="166"/>
    </row>
    <row r="11" spans="1:25" s="6" customFormat="1" ht="14.25" hidden="1" x14ac:dyDescent="0.2">
      <c r="A11" s="200" t="s">
        <v>298</v>
      </c>
      <c r="B11" s="165" t="s">
        <v>299</v>
      </c>
      <c r="C11" s="164">
        <v>500</v>
      </c>
      <c r="D11" s="164">
        <v>500</v>
      </c>
      <c r="E11" s="319" t="str">
        <f>IF(D11=Selected_Line_Reliability,1,IF(Control!$D$5="Y",1,"-"))</f>
        <v>-</v>
      </c>
      <c r="F11" s="323" t="str">
        <f>LEFT(Control!$D$23,1)</f>
        <v>A</v>
      </c>
      <c r="G11" s="327" t="s">
        <v>118</v>
      </c>
      <c r="H11" s="176" t="str">
        <f>IF(G11=0,B11&amp;TEXT(C11,"0000"),B11&amp;TEXT(C11,"0000")&amp;IF(C11="-","","_"&amp;LEFT(Control!$D$23,1)&amp;LEFT(Control!$D$22,LEN(Control!$D$22)-2)))</f>
        <v>MW0500_A8</v>
      </c>
      <c r="I11" s="177">
        <v>0.6</v>
      </c>
      <c r="J11" s="178">
        <f>INDEX(Ref!$D$7:$G$40,MATCH('Weather Cases'!D11,Ref!$C$7:$C$40,0),MATCH(LEFT(Control!$D$23,1)&amp;"MW",Ref!$D$6:$G$6,0))</f>
        <v>0.97799999999999998</v>
      </c>
      <c r="K11" s="178">
        <f t="shared" ref="K11:K24" si="0">J11^2*0.6</f>
        <v>0.57389040000000002</v>
      </c>
      <c r="L11" s="473">
        <v>0</v>
      </c>
      <c r="M11" s="179">
        <v>0</v>
      </c>
      <c r="N11" s="179">
        <v>0</v>
      </c>
      <c r="O11" s="179">
        <f>Ref!$L$55</f>
        <v>5</v>
      </c>
      <c r="P11" s="204" t="s">
        <v>300</v>
      </c>
      <c r="Q11" s="179">
        <v>1</v>
      </c>
      <c r="R11" s="204" t="s">
        <v>300</v>
      </c>
      <c r="S11" s="197" t="s">
        <v>301</v>
      </c>
      <c r="T11" s="181">
        <f t="shared" ref="T11:T75" si="1">IF(L11&gt;0,1.2,1)</f>
        <v>1</v>
      </c>
      <c r="U11" s="203"/>
      <c r="V11" s="166" t="s">
        <v>302</v>
      </c>
      <c r="W11" s="172"/>
      <c r="X11" s="166"/>
      <c r="Y11" s="166"/>
    </row>
    <row r="12" spans="1:25" s="6" customFormat="1" ht="14.25" hidden="1" x14ac:dyDescent="0.2">
      <c r="A12" s="200" t="s">
        <v>298</v>
      </c>
      <c r="B12" s="165" t="s">
        <v>299</v>
      </c>
      <c r="C12" s="164">
        <v>400</v>
      </c>
      <c r="D12" s="164">
        <v>400</v>
      </c>
      <c r="E12" s="319" t="str">
        <f>IF(D12=Selected_Line_Reliability,1,IF(Control!$D$5="Y",1,"-"))</f>
        <v>-</v>
      </c>
      <c r="F12" s="323" t="str">
        <f>LEFT(Control!$D$23,1)</f>
        <v>A</v>
      </c>
      <c r="G12" s="327" t="s">
        <v>118</v>
      </c>
      <c r="H12" s="176" t="str">
        <f>IF(G12=0,B12&amp;TEXT(C12,"0000"),B12&amp;TEXT(C12,"0000")&amp;IF(C12="-","","_"&amp;LEFT(Control!$D$23,1)&amp;LEFT(Control!$D$22,LEN(Control!$D$22)-2)))</f>
        <v>MW0400_A8</v>
      </c>
      <c r="I12" s="177">
        <v>0.6</v>
      </c>
      <c r="J12" s="178">
        <f>INDEX(Ref!$D$7:$G$40,MATCH('Weather Cases'!D12,Ref!$C$7:$C$40,0),MATCH(LEFT(Control!$D$23,1)&amp;"MW",Ref!$D$6:$G$6,0))</f>
        <v>0.96699999999999997</v>
      </c>
      <c r="K12" s="178">
        <f t="shared" si="0"/>
        <v>0.56105339999999992</v>
      </c>
      <c r="L12" s="473">
        <v>0</v>
      </c>
      <c r="M12" s="179">
        <v>0</v>
      </c>
      <c r="N12" s="179">
        <v>0</v>
      </c>
      <c r="O12" s="179">
        <f>Ref!$L$55</f>
        <v>5</v>
      </c>
      <c r="P12" s="204" t="s">
        <v>300</v>
      </c>
      <c r="Q12" s="179">
        <v>1</v>
      </c>
      <c r="R12" s="204" t="s">
        <v>300</v>
      </c>
      <c r="S12" s="197" t="s">
        <v>301</v>
      </c>
      <c r="T12" s="181">
        <f t="shared" si="1"/>
        <v>1</v>
      </c>
      <c r="U12" s="203"/>
      <c r="V12" s="166" t="s">
        <v>302</v>
      </c>
      <c r="W12" s="172"/>
      <c r="X12" s="166"/>
      <c r="Y12" s="166"/>
    </row>
    <row r="13" spans="1:25" s="6" customFormat="1" ht="14.25" x14ac:dyDescent="0.2">
      <c r="A13" s="200" t="s">
        <v>298</v>
      </c>
      <c r="B13" s="165" t="s">
        <v>299</v>
      </c>
      <c r="C13" s="164">
        <v>300</v>
      </c>
      <c r="D13" s="164">
        <v>300</v>
      </c>
      <c r="E13" s="319">
        <f>IF(D13=Selected_Line_Reliability,1,IF(Control!$D$5="Y",1,"-"))</f>
        <v>1</v>
      </c>
      <c r="F13" s="323" t="str">
        <f>LEFT(Control!$D$23,1)</f>
        <v>A</v>
      </c>
      <c r="G13" s="327" t="s">
        <v>118</v>
      </c>
      <c r="H13" s="176" t="str">
        <f>IF(G13=0,B13&amp;TEXT(C13,"0000"),B13&amp;TEXT(C13,"0000")&amp;IF(C13="-","","_"&amp;LEFT(Control!$D$23,1)&amp;LEFT(Control!$D$22,LEN(Control!$D$22)-2)))</f>
        <v>MW0300_A8</v>
      </c>
      <c r="I13" s="177">
        <v>0.6</v>
      </c>
      <c r="J13" s="178">
        <f>INDEX(Ref!$D$7:$G$40,MATCH('Weather Cases'!D13,Ref!$C$7:$C$40,0),MATCH(LEFT(Control!$D$23,1)&amp;"MW",Ref!$D$6:$G$6,0))</f>
        <v>0.95299999999999996</v>
      </c>
      <c r="K13" s="178">
        <f t="shared" si="0"/>
        <v>0.54492539999999989</v>
      </c>
      <c r="L13" s="473">
        <v>0</v>
      </c>
      <c r="M13" s="179">
        <v>0</v>
      </c>
      <c r="N13" s="179">
        <v>0</v>
      </c>
      <c r="O13" s="179">
        <f>Ref!$L$55</f>
        <v>5</v>
      </c>
      <c r="P13" s="204" t="s">
        <v>300</v>
      </c>
      <c r="Q13" s="179">
        <v>1</v>
      </c>
      <c r="R13" s="204" t="s">
        <v>300</v>
      </c>
      <c r="S13" s="197" t="s">
        <v>301</v>
      </c>
      <c r="T13" s="181">
        <f t="shared" si="1"/>
        <v>1</v>
      </c>
      <c r="U13" s="203"/>
      <c r="V13" s="166" t="s">
        <v>302</v>
      </c>
      <c r="W13" s="172"/>
      <c r="X13" s="166"/>
      <c r="Y13" s="166"/>
    </row>
    <row r="14" spans="1:25" s="6" customFormat="1" ht="14.25" hidden="1" x14ac:dyDescent="0.2">
      <c r="A14" s="200" t="s">
        <v>298</v>
      </c>
      <c r="B14" s="165" t="s">
        <v>299</v>
      </c>
      <c r="C14" s="164">
        <v>250</v>
      </c>
      <c r="D14" s="164">
        <v>250</v>
      </c>
      <c r="E14" s="319" t="str">
        <f>IF(D14=Selected_Line_Reliability,1,IF(Control!$D$5="Y",1,"-"))</f>
        <v>-</v>
      </c>
      <c r="F14" s="323" t="str">
        <f>LEFT(Control!$D$23,1)</f>
        <v>A</v>
      </c>
      <c r="G14" s="327" t="s">
        <v>118</v>
      </c>
      <c r="H14" s="176" t="str">
        <f>IF(G14=0,B14&amp;TEXT(C14,"0000"),B14&amp;TEXT(C14,"0000")&amp;IF(C14="-","","_"&amp;LEFT(Control!$D$23,1)&amp;LEFT(Control!$D$22,LEN(Control!$D$22)-2)))</f>
        <v>MW0250_A8</v>
      </c>
      <c r="I14" s="177">
        <v>0.6</v>
      </c>
      <c r="J14" s="178">
        <f>INDEX(Ref!$D$7:$G$40,MATCH('Weather Cases'!D14,Ref!$C$7:$C$40,0),MATCH(LEFT(Control!$D$23,1)&amp;"MW",Ref!$D$6:$G$6,0))</f>
        <v>0.94299999999999995</v>
      </c>
      <c r="K14" s="178">
        <f t="shared" si="0"/>
        <v>0.53354939999999995</v>
      </c>
      <c r="L14" s="473">
        <v>0</v>
      </c>
      <c r="M14" s="179">
        <v>0</v>
      </c>
      <c r="N14" s="179">
        <v>0</v>
      </c>
      <c r="O14" s="179">
        <f>Ref!$L$55</f>
        <v>5</v>
      </c>
      <c r="P14" s="204" t="s">
        <v>300</v>
      </c>
      <c r="Q14" s="179">
        <v>1</v>
      </c>
      <c r="R14" s="204" t="s">
        <v>300</v>
      </c>
      <c r="S14" s="197" t="s">
        <v>301</v>
      </c>
      <c r="T14" s="181">
        <f t="shared" si="1"/>
        <v>1</v>
      </c>
      <c r="U14" s="203"/>
      <c r="V14" s="166" t="s">
        <v>302</v>
      </c>
      <c r="W14" s="172"/>
      <c r="X14" s="166"/>
      <c r="Y14" s="166"/>
    </row>
    <row r="15" spans="1:25" s="6" customFormat="1" ht="14.25" hidden="1" x14ac:dyDescent="0.2">
      <c r="A15" s="200" t="s">
        <v>298</v>
      </c>
      <c r="B15" s="165" t="s">
        <v>299</v>
      </c>
      <c r="C15" s="164">
        <v>200</v>
      </c>
      <c r="D15" s="164">
        <v>200</v>
      </c>
      <c r="E15" s="319" t="str">
        <f>IF(D15=Selected_Line_Reliability,1,IF(Control!$D$5="Y",1,"-"))</f>
        <v>-</v>
      </c>
      <c r="F15" s="323" t="str">
        <f>LEFT(Control!$D$23,1)</f>
        <v>A</v>
      </c>
      <c r="G15" s="327" t="s">
        <v>118</v>
      </c>
      <c r="H15" s="176" t="str">
        <f>IF(G15=0,B15&amp;TEXT(C15,"0000"),B15&amp;TEXT(C15,"0000")&amp;IF(C15="-","","_"&amp;LEFT(Control!$D$23,1)&amp;LEFT(Control!$D$22,LEN(Control!$D$22)-2)))</f>
        <v>MW0200_A8</v>
      </c>
      <c r="I15" s="177">
        <v>0.6</v>
      </c>
      <c r="J15" s="178">
        <f>INDEX(Ref!$D$7:$G$40,MATCH('Weather Cases'!D15,Ref!$C$7:$C$40,0),MATCH(LEFT(Control!$D$23,1)&amp;"MW",Ref!$D$6:$G$6,0))</f>
        <v>0.93200000000000005</v>
      </c>
      <c r="K15" s="178">
        <f t="shared" si="0"/>
        <v>0.52117440000000004</v>
      </c>
      <c r="L15" s="473">
        <v>0</v>
      </c>
      <c r="M15" s="179">
        <v>0</v>
      </c>
      <c r="N15" s="179">
        <v>0</v>
      </c>
      <c r="O15" s="179">
        <f>Ref!$L$55</f>
        <v>5</v>
      </c>
      <c r="P15" s="204" t="s">
        <v>300</v>
      </c>
      <c r="Q15" s="179">
        <v>1</v>
      </c>
      <c r="R15" s="204" t="s">
        <v>300</v>
      </c>
      <c r="S15" s="197" t="s">
        <v>301</v>
      </c>
      <c r="T15" s="181">
        <f t="shared" si="1"/>
        <v>1</v>
      </c>
      <c r="U15" s="203"/>
      <c r="V15" s="166" t="s">
        <v>302</v>
      </c>
      <c r="W15" s="172"/>
      <c r="X15" s="166"/>
      <c r="Y15" s="166"/>
    </row>
    <row r="16" spans="1:25" s="6" customFormat="1" ht="14.25" hidden="1" x14ac:dyDescent="0.2">
      <c r="A16" s="200" t="s">
        <v>298</v>
      </c>
      <c r="B16" s="165" t="s">
        <v>299</v>
      </c>
      <c r="C16" s="164">
        <v>150</v>
      </c>
      <c r="D16" s="164">
        <v>150</v>
      </c>
      <c r="E16" s="319" t="str">
        <f>IF(D16=Selected_Line_Reliability,1,IF(Control!$D$5="Y",1,"-"))</f>
        <v>-</v>
      </c>
      <c r="F16" s="323" t="str">
        <f>LEFT(Control!$D$23,1)</f>
        <v>A</v>
      </c>
      <c r="G16" s="327" t="s">
        <v>118</v>
      </c>
      <c r="H16" s="176" t="str">
        <f>IF(G16=0,B16&amp;TEXT(C16,"0000"),B16&amp;TEXT(C16,"0000")&amp;IF(C16="-","","_"&amp;LEFT(Control!$D$23,1)&amp;LEFT(Control!$D$22,LEN(Control!$D$22)-2)))</f>
        <v>MW0150_A8</v>
      </c>
      <c r="I16" s="177">
        <v>0.6</v>
      </c>
      <c r="J16" s="178">
        <f>INDEX(Ref!$D$7:$G$40,MATCH('Weather Cases'!D16,Ref!$C$7:$C$40,0),MATCH(LEFT(Control!$D$23,1)&amp;"MW",Ref!$D$6:$G$6,0))</f>
        <v>0.91600000000000004</v>
      </c>
      <c r="K16" s="178">
        <f t="shared" si="0"/>
        <v>0.50343360000000004</v>
      </c>
      <c r="L16" s="473">
        <v>0</v>
      </c>
      <c r="M16" s="179">
        <v>0</v>
      </c>
      <c r="N16" s="179">
        <v>0</v>
      </c>
      <c r="O16" s="179">
        <f>Ref!$L$55</f>
        <v>5</v>
      </c>
      <c r="P16" s="204" t="s">
        <v>300</v>
      </c>
      <c r="Q16" s="179">
        <v>1</v>
      </c>
      <c r="R16" s="204" t="s">
        <v>300</v>
      </c>
      <c r="S16" s="197" t="s">
        <v>301</v>
      </c>
      <c r="T16" s="181">
        <f t="shared" si="1"/>
        <v>1</v>
      </c>
      <c r="U16" s="203"/>
      <c r="V16" s="166" t="s">
        <v>302</v>
      </c>
      <c r="W16" s="172"/>
      <c r="X16" s="166"/>
      <c r="Y16" s="166"/>
    </row>
    <row r="17" spans="1:25" s="6" customFormat="1" ht="14.25" hidden="1" x14ac:dyDescent="0.2">
      <c r="A17" s="200" t="s">
        <v>298</v>
      </c>
      <c r="B17" s="165" t="s">
        <v>299</v>
      </c>
      <c r="C17" s="164">
        <v>100</v>
      </c>
      <c r="D17" s="164">
        <v>100</v>
      </c>
      <c r="E17" s="319" t="str">
        <f>IF(D17=Selected_Line_Reliability,1,IF(Control!$D$5="Y",1,"-"))</f>
        <v>-</v>
      </c>
      <c r="F17" s="323" t="str">
        <f>LEFT(Control!$D$23,1)</f>
        <v>A</v>
      </c>
      <c r="G17" s="327" t="s">
        <v>118</v>
      </c>
      <c r="H17" s="176" t="str">
        <f>IF(G17=0,B17&amp;TEXT(C17,"0000"),B17&amp;TEXT(C17,"0000")&amp;IF(C17="-","","_"&amp;LEFT(Control!$D$23,1)&amp;LEFT(Control!$D$22,LEN(Control!$D$22)-2)))</f>
        <v>MW0100_A8</v>
      </c>
      <c r="I17" s="177">
        <v>0.6</v>
      </c>
      <c r="J17" s="178">
        <f>INDEX(Ref!$D$7:$G$40,MATCH('Weather Cases'!D17,Ref!$C$7:$C$40,0),MATCH(LEFT(Control!$D$23,1)&amp;"MW",Ref!$D$6:$G$6,0))</f>
        <v>0.89400000000000002</v>
      </c>
      <c r="K17" s="178">
        <f t="shared" si="0"/>
        <v>0.47954160000000001</v>
      </c>
      <c r="L17" s="473">
        <v>0</v>
      </c>
      <c r="M17" s="179">
        <v>0</v>
      </c>
      <c r="N17" s="179">
        <v>0</v>
      </c>
      <c r="O17" s="179">
        <f>Ref!$L$55</f>
        <v>5</v>
      </c>
      <c r="P17" s="204" t="s">
        <v>300</v>
      </c>
      <c r="Q17" s="179">
        <v>1</v>
      </c>
      <c r="R17" s="204" t="s">
        <v>300</v>
      </c>
      <c r="S17" s="197" t="s">
        <v>301</v>
      </c>
      <c r="T17" s="181">
        <f t="shared" si="1"/>
        <v>1</v>
      </c>
      <c r="U17" s="203"/>
      <c r="V17" s="166" t="s">
        <v>302</v>
      </c>
      <c r="W17" s="172" t="s">
        <v>303</v>
      </c>
      <c r="X17" s="166"/>
      <c r="Y17" s="166"/>
    </row>
    <row r="18" spans="1:25" s="6" customFormat="1" ht="14.25" hidden="1" x14ac:dyDescent="0.2">
      <c r="A18" s="200" t="s">
        <v>298</v>
      </c>
      <c r="B18" s="165" t="s">
        <v>299</v>
      </c>
      <c r="C18" s="164">
        <v>75</v>
      </c>
      <c r="D18" s="164">
        <v>75</v>
      </c>
      <c r="E18" s="319" t="str">
        <f>IF(D18=Selected_Line_Reliability,1,IF(Control!$D$5="Y",1,"-"))</f>
        <v>-</v>
      </c>
      <c r="F18" s="323" t="str">
        <f>LEFT(Control!$D$23,1)</f>
        <v>A</v>
      </c>
      <c r="G18" s="327" t="s">
        <v>118</v>
      </c>
      <c r="H18" s="176" t="str">
        <f>IF(G18=0,B18&amp;TEXT(C18,"0000"),B18&amp;TEXT(C18,"0000")&amp;IF(C18="-","","_"&amp;LEFT(Control!$D$23,1)&amp;LEFT(Control!$D$22,LEN(Control!$D$22)-2)))</f>
        <v>MW0075_A8</v>
      </c>
      <c r="I18" s="177">
        <v>0.6</v>
      </c>
      <c r="J18" s="178">
        <f>INDEX(Ref!$D$7:$G$40,MATCH('Weather Cases'!D18,Ref!$C$7:$C$40,0),MATCH(LEFT(Control!$D$23,1)&amp;"MW",Ref!$D$6:$G$6,0))</f>
        <v>0.878</v>
      </c>
      <c r="K18" s="178">
        <f t="shared" si="0"/>
        <v>0.46253040000000001</v>
      </c>
      <c r="L18" s="473">
        <v>0</v>
      </c>
      <c r="M18" s="179">
        <v>0</v>
      </c>
      <c r="N18" s="179">
        <v>0</v>
      </c>
      <c r="O18" s="179">
        <f>Ref!$L$55</f>
        <v>5</v>
      </c>
      <c r="P18" s="204" t="s">
        <v>300</v>
      </c>
      <c r="Q18" s="179">
        <v>1</v>
      </c>
      <c r="R18" s="204" t="s">
        <v>300</v>
      </c>
      <c r="S18" s="197" t="s">
        <v>301</v>
      </c>
      <c r="T18" s="181">
        <f t="shared" si="1"/>
        <v>1</v>
      </c>
      <c r="U18" s="203"/>
      <c r="V18" s="166" t="s">
        <v>302</v>
      </c>
      <c r="W18" s="172"/>
      <c r="X18" s="166"/>
      <c r="Y18" s="166"/>
    </row>
    <row r="19" spans="1:25" s="6" customFormat="1" ht="14.25" hidden="1" x14ac:dyDescent="0.2">
      <c r="A19" s="200" t="s">
        <v>298</v>
      </c>
      <c r="B19" s="165" t="s">
        <v>299</v>
      </c>
      <c r="C19" s="164">
        <v>50</v>
      </c>
      <c r="D19" s="164">
        <v>50</v>
      </c>
      <c r="E19" s="319" t="str">
        <f>IF(D19=Selected_Line_Reliability,1,IF(Control!$D$5="Y",1,"-"))</f>
        <v>-</v>
      </c>
      <c r="F19" s="323" t="str">
        <f>LEFT(Control!$D$23,1)</f>
        <v>A</v>
      </c>
      <c r="G19" s="327" t="s">
        <v>118</v>
      </c>
      <c r="H19" s="176" t="str">
        <f>IF(G19=0,B19&amp;TEXT(C19,"0000"),B19&amp;TEXT(C19,"0000")&amp;IF(C19="-","","_"&amp;LEFT(Control!$D$23,1)&amp;LEFT(Control!$D$22,LEN(Control!$D$22)-2)))</f>
        <v>MW0050_A8</v>
      </c>
      <c r="I19" s="177">
        <v>0.6</v>
      </c>
      <c r="J19" s="178">
        <f>INDEX(Ref!$D$7:$G$40,MATCH('Weather Cases'!D19,Ref!$C$7:$C$40,0),MATCH(LEFT(Control!$D$23,1)&amp;"MW",Ref!$D$6:$G$6,0))</f>
        <v>0.85399999999999998</v>
      </c>
      <c r="K19" s="178">
        <f t="shared" si="0"/>
        <v>0.43758959999999997</v>
      </c>
      <c r="L19" s="473">
        <v>0</v>
      </c>
      <c r="M19" s="179">
        <v>0</v>
      </c>
      <c r="N19" s="179">
        <v>0</v>
      </c>
      <c r="O19" s="179">
        <f>Ref!$L$55</f>
        <v>5</v>
      </c>
      <c r="P19" s="204" t="s">
        <v>300</v>
      </c>
      <c r="Q19" s="179">
        <v>1</v>
      </c>
      <c r="R19" s="204" t="s">
        <v>300</v>
      </c>
      <c r="S19" s="197" t="s">
        <v>301</v>
      </c>
      <c r="T19" s="181">
        <f t="shared" si="1"/>
        <v>1</v>
      </c>
      <c r="U19" s="203"/>
      <c r="V19" s="166" t="s">
        <v>302</v>
      </c>
      <c r="W19" s="172"/>
      <c r="X19" s="166"/>
      <c r="Y19" s="166"/>
    </row>
    <row r="20" spans="1:25" s="6" customFormat="1" ht="14.25" hidden="1" x14ac:dyDescent="0.2">
      <c r="A20" s="200" t="s">
        <v>298</v>
      </c>
      <c r="B20" s="165" t="s">
        <v>299</v>
      </c>
      <c r="C20" s="164">
        <v>25</v>
      </c>
      <c r="D20" s="164">
        <v>25</v>
      </c>
      <c r="E20" s="319" t="str">
        <f>IF(D20=Selected_Line_Reliability,1,IF(Control!$D$5="Y",1,"-"))</f>
        <v>-</v>
      </c>
      <c r="F20" s="323" t="str">
        <f>LEFT(Control!$D$23,1)</f>
        <v>A</v>
      </c>
      <c r="G20" s="327" t="s">
        <v>118</v>
      </c>
      <c r="H20" s="176" t="str">
        <f>IF(G20=0,B20&amp;TEXT(C20,"0000"),B20&amp;TEXT(C20,"0000")&amp;IF(C20="-","","_"&amp;LEFT(Control!$D$23,1)&amp;LEFT(Control!$D$22,LEN(Control!$D$22)-2)))</f>
        <v>MW0025_A8</v>
      </c>
      <c r="I20" s="177">
        <v>0.6</v>
      </c>
      <c r="J20" s="178">
        <f>INDEX(Ref!$D$7:$G$40,MATCH('Weather Cases'!D20,Ref!$C$7:$C$40,0),MATCH(LEFT(Control!$D$23,1)&amp;"MW",Ref!$D$6:$G$6,0))</f>
        <v>0.81100000000000005</v>
      </c>
      <c r="K20" s="178">
        <f t="shared" si="0"/>
        <v>0.39463260000000006</v>
      </c>
      <c r="L20" s="473">
        <v>0</v>
      </c>
      <c r="M20" s="179">
        <v>0</v>
      </c>
      <c r="N20" s="179">
        <v>0</v>
      </c>
      <c r="O20" s="179">
        <f>Ref!$L$55</f>
        <v>5</v>
      </c>
      <c r="P20" s="204" t="s">
        <v>300</v>
      </c>
      <c r="Q20" s="179">
        <v>1</v>
      </c>
      <c r="R20" s="204" t="s">
        <v>300</v>
      </c>
      <c r="S20" s="197" t="s">
        <v>301</v>
      </c>
      <c r="T20" s="181">
        <f t="shared" si="1"/>
        <v>1</v>
      </c>
      <c r="U20" s="203"/>
      <c r="V20" s="166" t="s">
        <v>302</v>
      </c>
      <c r="W20" s="172"/>
      <c r="X20" s="166"/>
      <c r="Y20" s="166"/>
    </row>
    <row r="21" spans="1:25" s="6" customFormat="1" ht="14.25" hidden="1" x14ac:dyDescent="0.2">
      <c r="A21" s="200" t="s">
        <v>298</v>
      </c>
      <c r="B21" s="165" t="s">
        <v>299</v>
      </c>
      <c r="C21" s="164">
        <v>15</v>
      </c>
      <c r="D21" s="164">
        <v>15</v>
      </c>
      <c r="E21" s="319" t="str">
        <f>IF(D21=Selected_Line_Reliability,1,IF(Control!$D$5="Y",1,"-"))</f>
        <v>-</v>
      </c>
      <c r="F21" s="323" t="str">
        <f>LEFT(Control!$D$23,1)</f>
        <v>A</v>
      </c>
      <c r="G21" s="327" t="s">
        <v>118</v>
      </c>
      <c r="H21" s="176" t="str">
        <f>IF(G21=0,B21&amp;TEXT(C21,"0000"),B21&amp;TEXT(C21,"0000")&amp;IF(C21="-","","_"&amp;LEFT(Control!$D$23,1)&amp;LEFT(Control!$D$22,LEN(Control!$D$22)-2)))</f>
        <v>MW0015_A8</v>
      </c>
      <c r="I21" s="177">
        <v>0.6</v>
      </c>
      <c r="J21" s="178">
        <f>INDEX(Ref!$D$7:$G$40,MATCH('Weather Cases'!D21,Ref!$C$7:$C$40,0),MATCH(LEFT(Control!$D$23,1)&amp;"MW",Ref!$D$6:$G$6,0))</f>
        <v>0.77700000000000002</v>
      </c>
      <c r="K21" s="178">
        <f t="shared" si="0"/>
        <v>0.36223740000000004</v>
      </c>
      <c r="L21" s="473">
        <v>0</v>
      </c>
      <c r="M21" s="179">
        <v>0</v>
      </c>
      <c r="N21" s="179">
        <v>0</v>
      </c>
      <c r="O21" s="179">
        <f>Ref!$L$55</f>
        <v>5</v>
      </c>
      <c r="P21" s="204" t="s">
        <v>300</v>
      </c>
      <c r="Q21" s="179">
        <v>1</v>
      </c>
      <c r="R21" s="204" t="s">
        <v>300</v>
      </c>
      <c r="S21" s="197" t="s">
        <v>301</v>
      </c>
      <c r="T21" s="181">
        <f t="shared" si="1"/>
        <v>1</v>
      </c>
      <c r="U21" s="203"/>
      <c r="V21" s="166" t="s">
        <v>302</v>
      </c>
      <c r="W21" s="172" t="s">
        <v>304</v>
      </c>
      <c r="X21" s="166"/>
      <c r="Y21" s="166"/>
    </row>
    <row r="22" spans="1:25" s="6" customFormat="1" ht="14.25" hidden="1" x14ac:dyDescent="0.2">
      <c r="A22" s="200" t="s">
        <v>298</v>
      </c>
      <c r="B22" s="165" t="s">
        <v>299</v>
      </c>
      <c r="C22" s="164">
        <v>10</v>
      </c>
      <c r="D22" s="164">
        <v>10</v>
      </c>
      <c r="E22" s="319" t="str">
        <f>IF(D22=Selected_Line_Reliability,1,IF(Control!$D$5="Y",1,"-"))</f>
        <v>-</v>
      </c>
      <c r="F22" s="323" t="str">
        <f>LEFT(Control!$D$23,1)</f>
        <v>A</v>
      </c>
      <c r="G22" s="327" t="s">
        <v>118</v>
      </c>
      <c r="H22" s="176" t="str">
        <f>IF(G22=0,B22&amp;TEXT(C22,"0000"),B22&amp;TEXT(C22,"0000")&amp;IF(C22="-","","_"&amp;LEFT(Control!$D$23,1)&amp;LEFT(Control!$D$22,LEN(Control!$D$22)-2)))</f>
        <v>MW0010_A8</v>
      </c>
      <c r="I22" s="177">
        <v>0.6</v>
      </c>
      <c r="J22" s="178">
        <f>INDEX(Ref!$D$7:$G$40,MATCH('Weather Cases'!D22,Ref!$C$7:$C$40,0),MATCH(LEFT(Control!$D$23,1)&amp;"MW",Ref!$D$6:$G$6,0))</f>
        <v>0.749</v>
      </c>
      <c r="K22" s="178">
        <f t="shared" si="0"/>
        <v>0.33660059999999997</v>
      </c>
      <c r="L22" s="473">
        <v>0</v>
      </c>
      <c r="M22" s="179">
        <v>0</v>
      </c>
      <c r="N22" s="179">
        <v>0</v>
      </c>
      <c r="O22" s="179">
        <f>Ref!$L$55</f>
        <v>5</v>
      </c>
      <c r="P22" s="204" t="s">
        <v>300</v>
      </c>
      <c r="Q22" s="179">
        <v>1</v>
      </c>
      <c r="R22" s="204" t="s">
        <v>300</v>
      </c>
      <c r="S22" s="197" t="s">
        <v>301</v>
      </c>
      <c r="T22" s="181">
        <f t="shared" si="1"/>
        <v>1</v>
      </c>
      <c r="U22" s="203"/>
      <c r="V22" s="166" t="s">
        <v>302</v>
      </c>
      <c r="W22" s="172" t="s">
        <v>305</v>
      </c>
      <c r="X22" s="166"/>
      <c r="Y22" s="166"/>
    </row>
    <row r="23" spans="1:25" s="6" customFormat="1" ht="14.25" hidden="1" x14ac:dyDescent="0.2">
      <c r="A23" s="200" t="s">
        <v>298</v>
      </c>
      <c r="B23" s="165" t="s">
        <v>299</v>
      </c>
      <c r="C23" s="164">
        <v>4</v>
      </c>
      <c r="D23" s="164">
        <v>4</v>
      </c>
      <c r="E23" s="319" t="str">
        <f>IF(D23=Selected_Line_Reliability,1,IF(Control!$D$5="Y",1,"-"))</f>
        <v>-</v>
      </c>
      <c r="F23" s="323" t="str">
        <f>LEFT(Control!$D$23,1)</f>
        <v>A</v>
      </c>
      <c r="G23" s="327" t="s">
        <v>118</v>
      </c>
      <c r="H23" s="176" t="str">
        <f>IF(G23=0,B23&amp;TEXT(C23,"0000"),B23&amp;TEXT(C23,"0000")&amp;IF(C23="-","","_"&amp;LEFT(Control!$D$23,1)&amp;LEFT(Control!$D$22,LEN(Control!$D$22)-2)))</f>
        <v>MW0004_A8</v>
      </c>
      <c r="I23" s="177">
        <v>0.6</v>
      </c>
      <c r="J23" s="178">
        <f>INDEX(Ref!$D$7:$G$40,MATCH('Weather Cases'!D23,Ref!$C$7:$C$40,0),MATCH(LEFT(Control!$D$23,1)&amp;"MW",Ref!$D$6:$G$6,0))</f>
        <v>0.68100000000000005</v>
      </c>
      <c r="K23" s="178">
        <f t="shared" si="0"/>
        <v>0.27825660000000002</v>
      </c>
      <c r="L23" s="473">
        <v>0</v>
      </c>
      <c r="M23" s="179">
        <v>0</v>
      </c>
      <c r="N23" s="179">
        <v>0</v>
      </c>
      <c r="O23" s="179">
        <f>Ref!$L$55</f>
        <v>5</v>
      </c>
      <c r="P23" s="204" t="s">
        <v>300</v>
      </c>
      <c r="Q23" s="179">
        <v>1</v>
      </c>
      <c r="R23" s="204" t="s">
        <v>300</v>
      </c>
      <c r="S23" s="197" t="s">
        <v>301</v>
      </c>
      <c r="T23" s="181">
        <f t="shared" si="1"/>
        <v>1</v>
      </c>
      <c r="U23" s="203"/>
      <c r="V23" s="166" t="s">
        <v>302</v>
      </c>
      <c r="W23" s="172" t="s">
        <v>306</v>
      </c>
      <c r="X23" s="166"/>
      <c r="Y23" s="166"/>
    </row>
    <row r="24" spans="1:25" s="6" customFormat="1" ht="14.25" hidden="1" x14ac:dyDescent="0.2">
      <c r="A24" s="200" t="s">
        <v>298</v>
      </c>
      <c r="B24" s="165" t="s">
        <v>299</v>
      </c>
      <c r="C24" s="164">
        <v>2</v>
      </c>
      <c r="D24" s="164">
        <v>2</v>
      </c>
      <c r="E24" s="319" t="str">
        <f>IF(D24=Selected_Line_Reliability,1,IF(Control!$D$5="Y",1,"-"))</f>
        <v>-</v>
      </c>
      <c r="F24" s="323" t="str">
        <f>LEFT(Control!$D$23,1)</f>
        <v>A</v>
      </c>
      <c r="G24" s="327" t="s">
        <v>118</v>
      </c>
      <c r="H24" s="176" t="str">
        <f>IF(G24=0,B24&amp;TEXT(C24,"0000"),B24&amp;TEXT(C24,"0000")&amp;IF(C24="-","","_"&amp;LEFT(Control!$D$23,1)&amp;LEFT(Control!$D$22,LEN(Control!$D$22)-2)))</f>
        <v>MW0002_A8</v>
      </c>
      <c r="I24" s="177">
        <v>0.6</v>
      </c>
      <c r="J24" s="178">
        <f>INDEX(Ref!$D$7:$G$40,MATCH('Weather Cases'!D24,Ref!$C$7:$C$40,0),MATCH(LEFT(Control!$D$23,1)&amp;"MW",Ref!$D$6:$G$6,0))</f>
        <v>0.625</v>
      </c>
      <c r="K24" s="178">
        <f t="shared" si="0"/>
        <v>0.234375</v>
      </c>
      <c r="L24" s="473">
        <v>0</v>
      </c>
      <c r="M24" s="179">
        <v>0</v>
      </c>
      <c r="N24" s="179">
        <v>0</v>
      </c>
      <c r="O24" s="179">
        <f>Ref!$L$55</f>
        <v>5</v>
      </c>
      <c r="P24" s="204" t="s">
        <v>300</v>
      </c>
      <c r="Q24" s="179">
        <v>1</v>
      </c>
      <c r="R24" s="204" t="s">
        <v>300</v>
      </c>
      <c r="S24" s="197" t="s">
        <v>301</v>
      </c>
      <c r="T24" s="181">
        <f t="shared" si="1"/>
        <v>1</v>
      </c>
      <c r="U24" s="203"/>
      <c r="V24" s="166" t="s">
        <v>302</v>
      </c>
      <c r="W24" s="172" t="s">
        <v>307</v>
      </c>
      <c r="X24" s="166"/>
      <c r="Y24" s="166"/>
    </row>
    <row r="25" spans="1:25" s="6" customFormat="1" ht="14.25" hidden="1" x14ac:dyDescent="0.2">
      <c r="A25" s="200" t="s">
        <v>308</v>
      </c>
      <c r="B25" s="165" t="s">
        <v>309</v>
      </c>
      <c r="C25" s="164">
        <v>1000</v>
      </c>
      <c r="D25" s="164">
        <v>1000</v>
      </c>
      <c r="E25" s="319" t="str">
        <f>IF(D25=Selected_Line_Reliability,1,IF(Control!$D$5="Y",1,"-"))</f>
        <v>-</v>
      </c>
      <c r="F25" s="323" t="str">
        <f>LEFT(Control!$D$23,1)</f>
        <v>A</v>
      </c>
      <c r="G25" s="327" t="s">
        <v>118</v>
      </c>
      <c r="H25" s="176" t="str">
        <f>IF(G25=0,B25&amp;TEXT(C25,"0000"),B25&amp;TEXT(C25,"0000")&amp;IF(C25="-","","_"&amp;LEFT(Control!$D$23,1)&amp;LEFT(Control!$D$22,LEN(Control!$D$22)-2)))</f>
        <v>MT1000_A8</v>
      </c>
      <c r="I25" s="177">
        <v>0.6</v>
      </c>
      <c r="J25" s="178">
        <f>INDEX(Ref!$D$7:$G$40,MATCH('Weather Cases'!D25,Ref!$C$7:$C$40,0),MATCH(LEFT(Control!$D$23,1)&amp;"MT",Ref!$D$6:$G$6,0))</f>
        <v>0.6</v>
      </c>
      <c r="K25" s="178">
        <f>J25^2*0.6</f>
        <v>0.216</v>
      </c>
      <c r="L25" s="473">
        <v>0</v>
      </c>
      <c r="M25" s="179">
        <v>0</v>
      </c>
      <c r="N25" s="179">
        <v>0</v>
      </c>
      <c r="O25" s="179">
        <f>Ref!$L$57</f>
        <v>-14</v>
      </c>
      <c r="P25" s="204" t="s">
        <v>300</v>
      </c>
      <c r="Q25" s="179">
        <v>1</v>
      </c>
      <c r="R25" s="204" t="s">
        <v>300</v>
      </c>
      <c r="S25" s="197" t="s">
        <v>301</v>
      </c>
      <c r="T25" s="181">
        <f t="shared" si="1"/>
        <v>1</v>
      </c>
      <c r="U25" s="203"/>
      <c r="V25" s="166" t="s">
        <v>310</v>
      </c>
      <c r="W25" s="172"/>
      <c r="X25" s="166"/>
      <c r="Y25" s="166"/>
    </row>
    <row r="26" spans="1:25" s="6" customFormat="1" ht="14.25" hidden="1" x14ac:dyDescent="0.2">
      <c r="A26" s="200" t="s">
        <v>308</v>
      </c>
      <c r="B26" s="165" t="s">
        <v>309</v>
      </c>
      <c r="C26" s="164">
        <v>500</v>
      </c>
      <c r="D26" s="164">
        <v>500</v>
      </c>
      <c r="E26" s="319" t="str">
        <f>IF(D26=Selected_Line_Reliability,1,IF(Control!$D$5="Y",1,"-"))</f>
        <v>-</v>
      </c>
      <c r="F26" s="323" t="str">
        <f>LEFT(Control!$D$23,1)</f>
        <v>A</v>
      </c>
      <c r="G26" s="327" t="s">
        <v>118</v>
      </c>
      <c r="H26" s="176" t="str">
        <f>IF(G26=0,B26&amp;TEXT(C26,"0000"),B26&amp;TEXT(C26,"0000")&amp;IF(C26="-","","_"&amp;LEFT(Control!$D$23,1)&amp;LEFT(Control!$D$22,LEN(Control!$D$22)-2)))</f>
        <v>MT0500_A8</v>
      </c>
      <c r="I26" s="177">
        <v>0.6</v>
      </c>
      <c r="J26" s="178">
        <f>INDEX(Ref!$D$7:$G$40,MATCH('Weather Cases'!D26,Ref!$C$7:$C$40,0),MATCH(LEFT(Control!$D$23,1)&amp;"MT",Ref!$D$6:$G$6,0))</f>
        <v>0.58699999999999997</v>
      </c>
      <c r="K26" s="178">
        <f t="shared" ref="K26:K39" si="2">J26^2*0.6</f>
        <v>0.20674139999999996</v>
      </c>
      <c r="L26" s="473">
        <v>0</v>
      </c>
      <c r="M26" s="179">
        <v>0</v>
      </c>
      <c r="N26" s="179">
        <v>0</v>
      </c>
      <c r="O26" s="179">
        <f>Ref!$L$57</f>
        <v>-14</v>
      </c>
      <c r="P26" s="204" t="s">
        <v>300</v>
      </c>
      <c r="Q26" s="179">
        <v>1</v>
      </c>
      <c r="R26" s="204" t="s">
        <v>300</v>
      </c>
      <c r="S26" s="197" t="s">
        <v>301</v>
      </c>
      <c r="T26" s="181">
        <f t="shared" si="1"/>
        <v>1</v>
      </c>
      <c r="U26" s="203"/>
      <c r="V26" s="166" t="s">
        <v>310</v>
      </c>
      <c r="W26" s="172"/>
      <c r="X26" s="166"/>
      <c r="Y26" s="166"/>
    </row>
    <row r="27" spans="1:25" s="6" customFormat="1" ht="14.25" hidden="1" x14ac:dyDescent="0.2">
      <c r="A27" s="200" t="s">
        <v>308</v>
      </c>
      <c r="B27" s="165" t="s">
        <v>309</v>
      </c>
      <c r="C27" s="164">
        <v>400</v>
      </c>
      <c r="D27" s="164">
        <v>400</v>
      </c>
      <c r="E27" s="319" t="str">
        <f>IF(D27=Selected_Line_Reliability,1,IF(Control!$D$5="Y",1,"-"))</f>
        <v>-</v>
      </c>
      <c r="F27" s="323" t="str">
        <f>LEFT(Control!$D$23,1)</f>
        <v>A</v>
      </c>
      <c r="G27" s="327" t="s">
        <v>118</v>
      </c>
      <c r="H27" s="176" t="str">
        <f>IF(G27=0,B27&amp;TEXT(C27,"0000"),B27&amp;TEXT(C27,"0000")&amp;IF(C27="-","","_"&amp;LEFT(Control!$D$23,1)&amp;LEFT(Control!$D$22,LEN(Control!$D$22)-2)))</f>
        <v>MT0400_A8</v>
      </c>
      <c r="I27" s="177">
        <v>0.6</v>
      </c>
      <c r="J27" s="178">
        <f>INDEX(Ref!$D$7:$G$40,MATCH('Weather Cases'!D27,Ref!$C$7:$C$40,0),MATCH(LEFT(Control!$D$23,1)&amp;"MT",Ref!$D$6:$G$6,0))</f>
        <v>0.57999999999999996</v>
      </c>
      <c r="K27" s="178">
        <f t="shared" si="2"/>
        <v>0.20183999999999999</v>
      </c>
      <c r="L27" s="473">
        <v>0</v>
      </c>
      <c r="M27" s="179">
        <v>0</v>
      </c>
      <c r="N27" s="179">
        <v>0</v>
      </c>
      <c r="O27" s="179">
        <f>Ref!$L$57</f>
        <v>-14</v>
      </c>
      <c r="P27" s="204" t="s">
        <v>300</v>
      </c>
      <c r="Q27" s="179">
        <v>1</v>
      </c>
      <c r="R27" s="204" t="s">
        <v>300</v>
      </c>
      <c r="S27" s="197" t="s">
        <v>301</v>
      </c>
      <c r="T27" s="181">
        <f t="shared" si="1"/>
        <v>1</v>
      </c>
      <c r="U27" s="203"/>
      <c r="V27" s="166" t="s">
        <v>310</v>
      </c>
      <c r="W27" s="172"/>
      <c r="X27" s="166"/>
      <c r="Y27" s="166"/>
    </row>
    <row r="28" spans="1:25" s="6" customFormat="1" ht="14.25" x14ac:dyDescent="0.2">
      <c r="A28" s="200" t="s">
        <v>308</v>
      </c>
      <c r="B28" s="165" t="s">
        <v>309</v>
      </c>
      <c r="C28" s="164">
        <v>300</v>
      </c>
      <c r="D28" s="164">
        <v>300</v>
      </c>
      <c r="E28" s="319">
        <f>IF(D28=Selected_Line_Reliability,1,IF(Control!$D$5="Y",1,"-"))</f>
        <v>1</v>
      </c>
      <c r="F28" s="323" t="str">
        <f>LEFT(Control!$D$23,1)</f>
        <v>A</v>
      </c>
      <c r="G28" s="327" t="s">
        <v>118</v>
      </c>
      <c r="H28" s="176" t="str">
        <f>IF(G28=0,B28&amp;TEXT(C28,"0000"),B28&amp;TEXT(C28,"0000")&amp;IF(C28="-","","_"&amp;LEFT(Control!$D$23,1)&amp;LEFT(Control!$D$22,LEN(Control!$D$22)-2)))</f>
        <v>MT0300_A8</v>
      </c>
      <c r="I28" s="177">
        <v>0.6</v>
      </c>
      <c r="J28" s="178">
        <f>INDEX(Ref!$D$7:$G$40,MATCH('Weather Cases'!D28,Ref!$C$7:$C$40,0),MATCH(LEFT(Control!$D$23,1)&amp;"MT",Ref!$D$6:$G$6,0))</f>
        <v>0.57199999999999995</v>
      </c>
      <c r="K28" s="178">
        <f t="shared" si="2"/>
        <v>0.19631039999999994</v>
      </c>
      <c r="L28" s="473">
        <v>0</v>
      </c>
      <c r="M28" s="179">
        <v>0</v>
      </c>
      <c r="N28" s="179">
        <v>0</v>
      </c>
      <c r="O28" s="179">
        <f>Ref!$L$57</f>
        <v>-14</v>
      </c>
      <c r="P28" s="204" t="s">
        <v>300</v>
      </c>
      <c r="Q28" s="179">
        <v>1</v>
      </c>
      <c r="R28" s="204" t="s">
        <v>300</v>
      </c>
      <c r="S28" s="197" t="s">
        <v>301</v>
      </c>
      <c r="T28" s="181">
        <f t="shared" si="1"/>
        <v>1</v>
      </c>
      <c r="U28" s="203"/>
      <c r="V28" s="166" t="s">
        <v>310</v>
      </c>
      <c r="W28" s="172"/>
      <c r="X28" s="166"/>
      <c r="Y28" s="166"/>
    </row>
    <row r="29" spans="1:25" s="6" customFormat="1" ht="14.25" hidden="1" x14ac:dyDescent="0.2">
      <c r="A29" s="200" t="s">
        <v>308</v>
      </c>
      <c r="B29" s="165" t="s">
        <v>309</v>
      </c>
      <c r="C29" s="164">
        <v>250</v>
      </c>
      <c r="D29" s="164">
        <v>250</v>
      </c>
      <c r="E29" s="319" t="str">
        <f>IF(D29=Selected_Line_Reliability,1,IF(Control!$D$5="Y",1,"-"))</f>
        <v>-</v>
      </c>
      <c r="F29" s="323" t="str">
        <f>LEFT(Control!$D$23,1)</f>
        <v>A</v>
      </c>
      <c r="G29" s="327" t="s">
        <v>118</v>
      </c>
      <c r="H29" s="176" t="str">
        <f>IF(G29=0,B29&amp;TEXT(C29,"0000"),B29&amp;TEXT(C29,"0000")&amp;IF(C29="-","","_"&amp;LEFT(Control!$D$23,1)&amp;LEFT(Control!$D$22,LEN(Control!$D$22)-2)))</f>
        <v>MT0250_A8</v>
      </c>
      <c r="I29" s="177">
        <v>0.6</v>
      </c>
      <c r="J29" s="178">
        <f>INDEX(Ref!$D$7:$G$40,MATCH('Weather Cases'!D29,Ref!$C$7:$C$40,0),MATCH(LEFT(Control!$D$23,1)&amp;"MT",Ref!$D$6:$G$6,0))</f>
        <v>0.56599999999999995</v>
      </c>
      <c r="K29" s="178">
        <f t="shared" si="2"/>
        <v>0.19221359999999996</v>
      </c>
      <c r="L29" s="473">
        <v>0</v>
      </c>
      <c r="M29" s="179">
        <v>0</v>
      </c>
      <c r="N29" s="179">
        <v>0</v>
      </c>
      <c r="O29" s="179">
        <f>Ref!$L$57</f>
        <v>-14</v>
      </c>
      <c r="P29" s="204" t="s">
        <v>300</v>
      </c>
      <c r="Q29" s="179">
        <v>1</v>
      </c>
      <c r="R29" s="204" t="s">
        <v>300</v>
      </c>
      <c r="S29" s="197" t="s">
        <v>301</v>
      </c>
      <c r="T29" s="181">
        <f t="shared" si="1"/>
        <v>1</v>
      </c>
      <c r="U29" s="203"/>
      <c r="V29" s="166" t="s">
        <v>310</v>
      </c>
      <c r="W29" s="172"/>
      <c r="X29" s="166"/>
      <c r="Y29" s="166"/>
    </row>
    <row r="30" spans="1:25" s="6" customFormat="1" ht="14.25" hidden="1" x14ac:dyDescent="0.2">
      <c r="A30" s="200" t="s">
        <v>308</v>
      </c>
      <c r="B30" s="165" t="s">
        <v>309</v>
      </c>
      <c r="C30" s="164">
        <v>200</v>
      </c>
      <c r="D30" s="164">
        <v>200</v>
      </c>
      <c r="E30" s="319" t="str">
        <f>IF(D30=Selected_Line_Reliability,1,IF(Control!$D$5="Y",1,"-"))</f>
        <v>-</v>
      </c>
      <c r="F30" s="323" t="str">
        <f>LEFT(Control!$D$23,1)</f>
        <v>A</v>
      </c>
      <c r="G30" s="327" t="s">
        <v>118</v>
      </c>
      <c r="H30" s="176" t="str">
        <f>IF(G30=0,B30&amp;TEXT(C30,"0000"),B30&amp;TEXT(C30,"0000")&amp;IF(C30="-","","_"&amp;LEFT(Control!$D$23,1)&amp;LEFT(Control!$D$22,LEN(Control!$D$22)-2)))</f>
        <v>MT0200_A8</v>
      </c>
      <c r="I30" s="177">
        <v>0.6</v>
      </c>
      <c r="J30" s="178">
        <f>INDEX(Ref!$D$7:$G$40,MATCH('Weather Cases'!D30,Ref!$C$7:$C$40,0),MATCH(LEFT(Control!$D$23,1)&amp;"MT",Ref!$D$6:$G$6,0))</f>
        <v>0.55900000000000005</v>
      </c>
      <c r="K30" s="178">
        <f t="shared" si="2"/>
        <v>0.18748860000000003</v>
      </c>
      <c r="L30" s="473">
        <v>0</v>
      </c>
      <c r="M30" s="179">
        <v>0</v>
      </c>
      <c r="N30" s="179">
        <v>0</v>
      </c>
      <c r="O30" s="179">
        <f>Ref!$L$57</f>
        <v>-14</v>
      </c>
      <c r="P30" s="204" t="s">
        <v>300</v>
      </c>
      <c r="Q30" s="179">
        <v>1</v>
      </c>
      <c r="R30" s="204" t="s">
        <v>300</v>
      </c>
      <c r="S30" s="197" t="s">
        <v>301</v>
      </c>
      <c r="T30" s="181">
        <f t="shared" si="1"/>
        <v>1</v>
      </c>
      <c r="U30" s="203"/>
      <c r="V30" s="166" t="s">
        <v>310</v>
      </c>
      <c r="W30" s="172"/>
      <c r="X30" s="166"/>
      <c r="Y30" s="166"/>
    </row>
    <row r="31" spans="1:25" s="6" customFormat="1" ht="14.25" hidden="1" x14ac:dyDescent="0.2">
      <c r="A31" s="200" t="s">
        <v>308</v>
      </c>
      <c r="B31" s="165" t="s">
        <v>309</v>
      </c>
      <c r="C31" s="164">
        <v>150</v>
      </c>
      <c r="D31" s="164">
        <v>150</v>
      </c>
      <c r="E31" s="319" t="str">
        <f>IF(D31=Selected_Line_Reliability,1,IF(Control!$D$5="Y",1,"-"))</f>
        <v>-</v>
      </c>
      <c r="F31" s="323" t="str">
        <f>LEFT(Control!$D$23,1)</f>
        <v>A</v>
      </c>
      <c r="G31" s="327" t="s">
        <v>118</v>
      </c>
      <c r="H31" s="176" t="str">
        <f>IF(G31=0,B31&amp;TEXT(C31,"0000"),B31&amp;TEXT(C31,"0000")&amp;IF(C31="-","","_"&amp;LEFT(Control!$D$23,1)&amp;LEFT(Control!$D$22,LEN(Control!$D$22)-2)))</f>
        <v>MT0150_A8</v>
      </c>
      <c r="I31" s="177">
        <v>0.6</v>
      </c>
      <c r="J31" s="178">
        <f>INDEX(Ref!$D$7:$G$40,MATCH('Weather Cases'!D31,Ref!$C$7:$C$40,0),MATCH(LEFT(Control!$D$23,1)&amp;"MT",Ref!$D$6:$G$6,0))</f>
        <v>0.55000000000000004</v>
      </c>
      <c r="K31" s="178">
        <f t="shared" si="2"/>
        <v>0.18150000000000002</v>
      </c>
      <c r="L31" s="473">
        <v>0</v>
      </c>
      <c r="M31" s="179">
        <v>0</v>
      </c>
      <c r="N31" s="179">
        <v>0</v>
      </c>
      <c r="O31" s="179">
        <f>Ref!$L$57</f>
        <v>-14</v>
      </c>
      <c r="P31" s="204" t="s">
        <v>300</v>
      </c>
      <c r="Q31" s="179">
        <v>1</v>
      </c>
      <c r="R31" s="204" t="s">
        <v>300</v>
      </c>
      <c r="S31" s="197" t="s">
        <v>301</v>
      </c>
      <c r="T31" s="181">
        <f t="shared" si="1"/>
        <v>1</v>
      </c>
      <c r="U31" s="203"/>
      <c r="V31" s="166" t="s">
        <v>310</v>
      </c>
      <c r="W31" s="172"/>
      <c r="X31" s="166"/>
      <c r="Y31" s="166"/>
    </row>
    <row r="32" spans="1:25" s="6" customFormat="1" ht="14.25" hidden="1" x14ac:dyDescent="0.2">
      <c r="A32" s="200" t="s">
        <v>308</v>
      </c>
      <c r="B32" s="165" t="s">
        <v>309</v>
      </c>
      <c r="C32" s="164">
        <v>100</v>
      </c>
      <c r="D32" s="164">
        <v>100</v>
      </c>
      <c r="E32" s="319" t="str">
        <f>IF(D32=Selected_Line_Reliability,1,IF(Control!$D$5="Y",1,"-"))</f>
        <v>-</v>
      </c>
      <c r="F32" s="323" t="str">
        <f>LEFT(Control!$D$23,1)</f>
        <v>A</v>
      </c>
      <c r="G32" s="327" t="s">
        <v>118</v>
      </c>
      <c r="H32" s="176" t="str">
        <f>IF(G32=0,B32&amp;TEXT(C32,"0000"),B32&amp;TEXT(C32,"0000")&amp;IF(C32="-","","_"&amp;LEFT(Control!$D$23,1)&amp;LEFT(Control!$D$22,LEN(Control!$D$22)-2)))</f>
        <v>MT0100_A8</v>
      </c>
      <c r="I32" s="177">
        <v>0.6</v>
      </c>
      <c r="J32" s="178">
        <f>INDEX(Ref!$D$7:$G$40,MATCH('Weather Cases'!D32,Ref!$C$7:$C$40,0),MATCH(LEFT(Control!$D$23,1)&amp;"MT",Ref!$D$6:$G$6,0))</f>
        <v>0.53600000000000003</v>
      </c>
      <c r="K32" s="178">
        <f t="shared" si="2"/>
        <v>0.17237760000000002</v>
      </c>
      <c r="L32" s="473">
        <v>0</v>
      </c>
      <c r="M32" s="179">
        <v>0</v>
      </c>
      <c r="N32" s="179">
        <v>0</v>
      </c>
      <c r="O32" s="179">
        <f>Ref!$L$57</f>
        <v>-14</v>
      </c>
      <c r="P32" s="204" t="s">
        <v>300</v>
      </c>
      <c r="Q32" s="179">
        <v>1</v>
      </c>
      <c r="R32" s="204" t="s">
        <v>300</v>
      </c>
      <c r="S32" s="197" t="s">
        <v>301</v>
      </c>
      <c r="T32" s="181">
        <f t="shared" si="1"/>
        <v>1</v>
      </c>
      <c r="U32" s="203"/>
      <c r="V32" s="166" t="s">
        <v>310</v>
      </c>
      <c r="W32" s="172"/>
      <c r="X32" s="166"/>
      <c r="Y32" s="166"/>
    </row>
    <row r="33" spans="1:25" s="6" customFormat="1" ht="14.25" hidden="1" x14ac:dyDescent="0.2">
      <c r="A33" s="200" t="s">
        <v>308</v>
      </c>
      <c r="B33" s="165" t="s">
        <v>309</v>
      </c>
      <c r="C33" s="164">
        <v>75</v>
      </c>
      <c r="D33" s="164">
        <v>75</v>
      </c>
      <c r="E33" s="319" t="str">
        <f>IF(D33=Selected_Line_Reliability,1,IF(Control!$D$5="Y",1,"-"))</f>
        <v>-</v>
      </c>
      <c r="F33" s="323" t="str">
        <f>LEFT(Control!$D$23,1)</f>
        <v>A</v>
      </c>
      <c r="G33" s="327" t="s">
        <v>118</v>
      </c>
      <c r="H33" s="176" t="str">
        <f>IF(G33=0,B33&amp;TEXT(C33,"0000"),B33&amp;TEXT(C33,"0000")&amp;IF(C33="-","","_"&amp;LEFT(Control!$D$23,1)&amp;LEFT(Control!$D$22,LEN(Control!$D$22)-2)))</f>
        <v>MT0075_A8</v>
      </c>
      <c r="I33" s="177">
        <v>0.6</v>
      </c>
      <c r="J33" s="178">
        <f>INDEX(Ref!$D$7:$G$40,MATCH('Weather Cases'!D33,Ref!$C$7:$C$40,0),MATCH(LEFT(Control!$D$23,1)&amp;"MT",Ref!$D$6:$G$6,0))</f>
        <v>0.52700000000000002</v>
      </c>
      <c r="K33" s="178">
        <f t="shared" si="2"/>
        <v>0.16663739999999999</v>
      </c>
      <c r="L33" s="473">
        <v>0</v>
      </c>
      <c r="M33" s="179">
        <v>0</v>
      </c>
      <c r="N33" s="179">
        <v>0</v>
      </c>
      <c r="O33" s="179">
        <f>Ref!$L$57</f>
        <v>-14</v>
      </c>
      <c r="P33" s="204" t="s">
        <v>300</v>
      </c>
      <c r="Q33" s="179">
        <v>1</v>
      </c>
      <c r="R33" s="204" t="s">
        <v>300</v>
      </c>
      <c r="S33" s="197" t="s">
        <v>301</v>
      </c>
      <c r="T33" s="181">
        <f t="shared" si="1"/>
        <v>1</v>
      </c>
      <c r="U33" s="203"/>
      <c r="V33" s="166" t="s">
        <v>310</v>
      </c>
      <c r="W33" s="172"/>
      <c r="X33" s="166"/>
      <c r="Y33" s="166"/>
    </row>
    <row r="34" spans="1:25" s="6" customFormat="1" ht="14.25" hidden="1" x14ac:dyDescent="0.2">
      <c r="A34" s="200" t="s">
        <v>308</v>
      </c>
      <c r="B34" s="165" t="s">
        <v>309</v>
      </c>
      <c r="C34" s="164">
        <v>50</v>
      </c>
      <c r="D34" s="164">
        <v>50</v>
      </c>
      <c r="E34" s="319" t="str">
        <f>IF(D34=Selected_Line_Reliability,1,IF(Control!$D$5="Y",1,"-"))</f>
        <v>-</v>
      </c>
      <c r="F34" s="323" t="str">
        <f>LEFT(Control!$D$23,1)</f>
        <v>A</v>
      </c>
      <c r="G34" s="327" t="s">
        <v>118</v>
      </c>
      <c r="H34" s="176" t="str">
        <f>IF(G34=0,B34&amp;TEXT(C34,"0000"),B34&amp;TEXT(C34,"0000")&amp;IF(C34="-","","_"&amp;LEFT(Control!$D$23,1)&amp;LEFT(Control!$D$22,LEN(Control!$D$22)-2)))</f>
        <v>MT0050_A8</v>
      </c>
      <c r="I34" s="177">
        <v>0.6</v>
      </c>
      <c r="J34" s="178">
        <f>INDEX(Ref!$D$7:$G$40,MATCH('Weather Cases'!D34,Ref!$C$7:$C$40,0),MATCH(LEFT(Control!$D$23,1)&amp;"MT",Ref!$D$6:$G$6,0))</f>
        <v>0.51200000000000001</v>
      </c>
      <c r="K34" s="178">
        <f t="shared" si="2"/>
        <v>0.15728639999999999</v>
      </c>
      <c r="L34" s="473">
        <v>0</v>
      </c>
      <c r="M34" s="179">
        <v>0</v>
      </c>
      <c r="N34" s="179">
        <v>0</v>
      </c>
      <c r="O34" s="179">
        <f>Ref!$L$57</f>
        <v>-14</v>
      </c>
      <c r="P34" s="204" t="s">
        <v>300</v>
      </c>
      <c r="Q34" s="179">
        <v>1</v>
      </c>
      <c r="R34" s="204" t="s">
        <v>300</v>
      </c>
      <c r="S34" s="197" t="s">
        <v>301</v>
      </c>
      <c r="T34" s="181">
        <f t="shared" si="1"/>
        <v>1</v>
      </c>
      <c r="U34" s="203"/>
      <c r="V34" s="166" t="s">
        <v>310</v>
      </c>
      <c r="W34" s="172"/>
      <c r="X34" s="166"/>
      <c r="Y34" s="166"/>
    </row>
    <row r="35" spans="1:25" s="6" customFormat="1" ht="14.25" hidden="1" x14ac:dyDescent="0.2">
      <c r="A35" s="200" t="s">
        <v>308</v>
      </c>
      <c r="B35" s="165" t="s">
        <v>309</v>
      </c>
      <c r="C35" s="164">
        <v>25</v>
      </c>
      <c r="D35" s="164">
        <v>25</v>
      </c>
      <c r="E35" s="319" t="str">
        <f>IF(D35=Selected_Line_Reliability,1,IF(Control!$D$5="Y",1,"-"))</f>
        <v>-</v>
      </c>
      <c r="F35" s="323" t="str">
        <f>LEFT(Control!$D$23,1)</f>
        <v>A</v>
      </c>
      <c r="G35" s="327" t="s">
        <v>118</v>
      </c>
      <c r="H35" s="176" t="str">
        <f>IF(G35=0,B35&amp;TEXT(C35,"0000"),B35&amp;TEXT(C35,"0000")&amp;IF(C35="-","","_"&amp;LEFT(Control!$D$23,1)&amp;LEFT(Control!$D$22,LEN(Control!$D$22)-2)))</f>
        <v>MT0025_A8</v>
      </c>
      <c r="I35" s="177">
        <v>0.6</v>
      </c>
      <c r="J35" s="178">
        <f>INDEX(Ref!$D$7:$G$40,MATCH('Weather Cases'!D35,Ref!$C$7:$C$40,0),MATCH(LEFT(Control!$D$23,1)&amp;"MT",Ref!$D$6:$G$6,0))</f>
        <v>0.48599999999999999</v>
      </c>
      <c r="K35" s="178">
        <f t="shared" si="2"/>
        <v>0.1417176</v>
      </c>
      <c r="L35" s="473">
        <v>0</v>
      </c>
      <c r="M35" s="179">
        <v>0</v>
      </c>
      <c r="N35" s="179">
        <v>0</v>
      </c>
      <c r="O35" s="179">
        <f>Ref!$L$57</f>
        <v>-14</v>
      </c>
      <c r="P35" s="204" t="s">
        <v>300</v>
      </c>
      <c r="Q35" s="179">
        <v>1</v>
      </c>
      <c r="R35" s="204" t="s">
        <v>300</v>
      </c>
      <c r="S35" s="197" t="s">
        <v>301</v>
      </c>
      <c r="T35" s="181">
        <f t="shared" si="1"/>
        <v>1</v>
      </c>
      <c r="U35" s="203"/>
      <c r="V35" s="166" t="s">
        <v>310</v>
      </c>
      <c r="W35" s="172"/>
      <c r="X35" s="166"/>
      <c r="Y35" s="166"/>
    </row>
    <row r="36" spans="1:25" s="6" customFormat="1" ht="14.25" hidden="1" x14ac:dyDescent="0.2">
      <c r="A36" s="200" t="s">
        <v>308</v>
      </c>
      <c r="B36" s="165" t="s">
        <v>309</v>
      </c>
      <c r="C36" s="164">
        <v>15</v>
      </c>
      <c r="D36" s="164">
        <v>15</v>
      </c>
      <c r="E36" s="319" t="str">
        <f>IF(D36=Selected_Line_Reliability,1,IF(Control!$D$5="Y",1,"-"))</f>
        <v>-</v>
      </c>
      <c r="F36" s="323" t="str">
        <f>LEFT(Control!$D$23,1)</f>
        <v>A</v>
      </c>
      <c r="G36" s="327" t="s">
        <v>118</v>
      </c>
      <c r="H36" s="176" t="str">
        <f>IF(G36=0,B36&amp;TEXT(C36,"0000"),B36&amp;TEXT(C36,"0000")&amp;IF(C36="-","","_"&amp;LEFT(Control!$D$23,1)&amp;LEFT(Control!$D$22,LEN(Control!$D$22)-2)))</f>
        <v>MT0015_A8</v>
      </c>
      <c r="I36" s="177">
        <v>0.6</v>
      </c>
      <c r="J36" s="178">
        <f>INDEX(Ref!$D$7:$G$40,MATCH('Weather Cases'!D36,Ref!$C$7:$C$40,0),MATCH(LEFT(Control!$D$23,1)&amp;"MT",Ref!$D$6:$G$6,0))</f>
        <v>0.46600000000000003</v>
      </c>
      <c r="K36" s="178">
        <f t="shared" si="2"/>
        <v>0.13029360000000001</v>
      </c>
      <c r="L36" s="473">
        <v>0</v>
      </c>
      <c r="M36" s="179">
        <v>0</v>
      </c>
      <c r="N36" s="179">
        <v>0</v>
      </c>
      <c r="O36" s="179">
        <f>Ref!$L$57</f>
        <v>-14</v>
      </c>
      <c r="P36" s="204" t="s">
        <v>300</v>
      </c>
      <c r="Q36" s="179">
        <v>1</v>
      </c>
      <c r="R36" s="204" t="s">
        <v>300</v>
      </c>
      <c r="S36" s="197" t="s">
        <v>301</v>
      </c>
      <c r="T36" s="181">
        <f t="shared" si="1"/>
        <v>1</v>
      </c>
      <c r="U36" s="203"/>
      <c r="V36" s="166" t="s">
        <v>310</v>
      </c>
      <c r="W36" s="172" t="s">
        <v>311</v>
      </c>
      <c r="X36" s="166"/>
      <c r="Y36" s="166"/>
    </row>
    <row r="37" spans="1:25" s="6" customFormat="1" ht="14.25" hidden="1" x14ac:dyDescent="0.2">
      <c r="A37" s="200" t="s">
        <v>308</v>
      </c>
      <c r="B37" s="165" t="s">
        <v>309</v>
      </c>
      <c r="C37" s="164">
        <v>10</v>
      </c>
      <c r="D37" s="164">
        <v>10</v>
      </c>
      <c r="E37" s="319" t="str">
        <f>IF(D37=Selected_Line_Reliability,1,IF(Control!$D$5="Y",1,"-"))</f>
        <v>-</v>
      </c>
      <c r="F37" s="323" t="str">
        <f>LEFT(Control!$D$23,1)</f>
        <v>A</v>
      </c>
      <c r="G37" s="327" t="s">
        <v>118</v>
      </c>
      <c r="H37" s="176" t="str">
        <f>IF(G37=0,B37&amp;TEXT(C37,"0000"),B37&amp;TEXT(C37,"0000")&amp;IF(C37="-","","_"&amp;LEFT(Control!$D$23,1)&amp;LEFT(Control!$D$22,LEN(Control!$D$22)-2)))</f>
        <v>MT0010_A8</v>
      </c>
      <c r="I37" s="177">
        <v>0.6</v>
      </c>
      <c r="J37" s="178">
        <f>INDEX(Ref!$D$7:$G$40,MATCH('Weather Cases'!D37,Ref!$C$7:$C$40,0),MATCH(LEFT(Control!$D$23,1)&amp;"MT",Ref!$D$6:$G$6,0))</f>
        <v>0.44900000000000001</v>
      </c>
      <c r="K37" s="178">
        <f t="shared" si="2"/>
        <v>0.1209606</v>
      </c>
      <c r="L37" s="473">
        <v>0</v>
      </c>
      <c r="M37" s="179">
        <v>0</v>
      </c>
      <c r="N37" s="179">
        <v>0</v>
      </c>
      <c r="O37" s="179">
        <f>Ref!$L$57</f>
        <v>-14</v>
      </c>
      <c r="P37" s="204" t="s">
        <v>300</v>
      </c>
      <c r="Q37" s="179">
        <v>1</v>
      </c>
      <c r="R37" s="204" t="s">
        <v>300</v>
      </c>
      <c r="S37" s="197" t="s">
        <v>301</v>
      </c>
      <c r="T37" s="181">
        <f t="shared" si="1"/>
        <v>1</v>
      </c>
      <c r="U37" s="203"/>
      <c r="V37" s="166" t="s">
        <v>310</v>
      </c>
      <c r="W37" s="172" t="s">
        <v>312</v>
      </c>
      <c r="X37" s="166"/>
      <c r="Y37" s="166"/>
    </row>
    <row r="38" spans="1:25" s="6" customFormat="1" ht="14.25" hidden="1" x14ac:dyDescent="0.2">
      <c r="A38" s="200" t="s">
        <v>308</v>
      </c>
      <c r="B38" s="165" t="s">
        <v>309</v>
      </c>
      <c r="C38" s="164">
        <v>4</v>
      </c>
      <c r="D38" s="164">
        <v>4</v>
      </c>
      <c r="E38" s="319" t="str">
        <f>IF(D38=Selected_Line_Reliability,1,IF(Control!$D$5="Y",1,"-"))</f>
        <v>-</v>
      </c>
      <c r="F38" s="323" t="str">
        <f>LEFT(Control!$D$23,1)</f>
        <v>A</v>
      </c>
      <c r="G38" s="327" t="s">
        <v>118</v>
      </c>
      <c r="H38" s="176" t="str">
        <f>IF(G38=0,B38&amp;TEXT(C38,"0000"),B38&amp;TEXT(C38,"0000")&amp;IF(C38="-","","_"&amp;LEFT(Control!$D$23,1)&amp;LEFT(Control!$D$22,LEN(Control!$D$22)-2)))</f>
        <v>MT0004_A8</v>
      </c>
      <c r="I38" s="177">
        <v>0.6</v>
      </c>
      <c r="J38" s="178">
        <f>INDEX(Ref!$D$7:$G$40,MATCH('Weather Cases'!D38,Ref!$C$7:$C$40,0),MATCH(LEFT(Control!$D$23,1)&amp;"MT",Ref!$D$6:$G$6,0))</f>
        <v>0.40799999999999997</v>
      </c>
      <c r="K38" s="178">
        <f t="shared" si="2"/>
        <v>9.9878399999999978E-2</v>
      </c>
      <c r="L38" s="473">
        <v>0</v>
      </c>
      <c r="M38" s="179">
        <v>0</v>
      </c>
      <c r="N38" s="179">
        <v>0</v>
      </c>
      <c r="O38" s="179">
        <f>Ref!$L$57</f>
        <v>-14</v>
      </c>
      <c r="P38" s="204" t="s">
        <v>300</v>
      </c>
      <c r="Q38" s="179">
        <v>1</v>
      </c>
      <c r="R38" s="204" t="s">
        <v>300</v>
      </c>
      <c r="S38" s="197" t="s">
        <v>301</v>
      </c>
      <c r="T38" s="181">
        <f t="shared" si="1"/>
        <v>1</v>
      </c>
      <c r="U38" s="203"/>
      <c r="V38" s="166" t="s">
        <v>310</v>
      </c>
      <c r="W38" s="172" t="s">
        <v>313</v>
      </c>
      <c r="X38" s="166"/>
      <c r="Y38" s="166"/>
    </row>
    <row r="39" spans="1:25" s="6" customFormat="1" ht="14.25" hidden="1" x14ac:dyDescent="0.2">
      <c r="A39" s="200" t="s">
        <v>308</v>
      </c>
      <c r="B39" s="165" t="s">
        <v>309</v>
      </c>
      <c r="C39" s="164">
        <v>2</v>
      </c>
      <c r="D39" s="164">
        <v>2</v>
      </c>
      <c r="E39" s="319" t="str">
        <f>IF(D39=Selected_Line_Reliability,1,IF(Control!$D$5="Y",1,"-"))</f>
        <v>-</v>
      </c>
      <c r="F39" s="323" t="str">
        <f>LEFT(Control!$D$23,1)</f>
        <v>A</v>
      </c>
      <c r="G39" s="327" t="s">
        <v>118</v>
      </c>
      <c r="H39" s="176" t="str">
        <f>IF(G39=0,B39&amp;TEXT(C39,"0000"),B39&amp;TEXT(C39,"0000")&amp;IF(C39="-","","_"&amp;LEFT(Control!$D$23,1)&amp;LEFT(Control!$D$22,LEN(Control!$D$22)-2)))</f>
        <v>MT0002_A8</v>
      </c>
      <c r="I39" s="177">
        <v>0.6</v>
      </c>
      <c r="J39" s="178">
        <f>INDEX(Ref!$D$7:$G$40,MATCH('Weather Cases'!D39,Ref!$C$7:$C$40,0),MATCH(LEFT(Control!$D$23,1)&amp;"MT",Ref!$D$6:$G$6,0))</f>
        <v>0.375</v>
      </c>
      <c r="K39" s="178">
        <f t="shared" si="2"/>
        <v>8.4374999999999992E-2</v>
      </c>
      <c r="L39" s="473">
        <v>0</v>
      </c>
      <c r="M39" s="179">
        <v>0</v>
      </c>
      <c r="N39" s="179">
        <v>0</v>
      </c>
      <c r="O39" s="179">
        <f>Ref!$L$57</f>
        <v>-14</v>
      </c>
      <c r="P39" s="204" t="s">
        <v>300</v>
      </c>
      <c r="Q39" s="179">
        <v>1</v>
      </c>
      <c r="R39" s="204" t="s">
        <v>300</v>
      </c>
      <c r="S39" s="197" t="s">
        <v>301</v>
      </c>
      <c r="T39" s="181">
        <f t="shared" si="1"/>
        <v>1</v>
      </c>
      <c r="U39" s="203"/>
      <c r="V39" s="166" t="s">
        <v>310</v>
      </c>
      <c r="W39" s="172" t="s">
        <v>314</v>
      </c>
      <c r="X39" s="166"/>
      <c r="Y39" s="166"/>
    </row>
    <row r="40" spans="1:25" s="6" customFormat="1" ht="14.25" x14ac:dyDescent="0.2">
      <c r="A40" s="200" t="s">
        <v>315</v>
      </c>
      <c r="B40" s="165" t="s">
        <v>316</v>
      </c>
      <c r="C40" s="165">
        <v>50</v>
      </c>
      <c r="D40" s="164" t="s">
        <v>22</v>
      </c>
      <c r="E40" s="319">
        <f>IF(SUM(L40)=0,"-",1)</f>
        <v>1</v>
      </c>
      <c r="F40" s="323" t="s">
        <v>22</v>
      </c>
      <c r="G40" s="327" t="s">
        <v>118</v>
      </c>
      <c r="H40" s="176" t="str">
        <f>IF(G40="",B40&amp;TEXT(C40,"0000"),B40&amp;TEXT(C40,"0000")&amp;IF(C40="-","","_"&amp;LEFT(Control!$D$22,LEN(Control!$D$22)-2)))</f>
        <v>ES0050_8</v>
      </c>
      <c r="I40" s="177">
        <v>0.6</v>
      </c>
      <c r="J40" s="178">
        <f>(K40/0.6)^0.5</f>
        <v>5.7735026918962582</v>
      </c>
      <c r="K40" s="180">
        <v>20</v>
      </c>
      <c r="L40" s="177">
        <f>Ref!$N$94</f>
        <v>3</v>
      </c>
      <c r="M40" s="181">
        <f>Ref!$O$94</f>
        <v>3900</v>
      </c>
      <c r="N40" s="179">
        <v>0</v>
      </c>
      <c r="O40" s="181">
        <f>Ref!$L$58</f>
        <v>-5</v>
      </c>
      <c r="P40" s="204" t="s">
        <v>300</v>
      </c>
      <c r="Q40" s="179">
        <v>1</v>
      </c>
      <c r="R40" s="204" t="s">
        <v>300</v>
      </c>
      <c r="S40" s="198" t="s">
        <v>317</v>
      </c>
      <c r="T40" s="181">
        <f t="shared" si="1"/>
        <v>1.2</v>
      </c>
      <c r="U40" s="166"/>
      <c r="V40" s="166" t="s">
        <v>318</v>
      </c>
      <c r="W40" s="172" t="s">
        <v>303</v>
      </c>
      <c r="X40" s="166"/>
      <c r="Y40" s="166"/>
    </row>
    <row r="41" spans="1:25" s="6" customFormat="1" ht="14.25" x14ac:dyDescent="0.2">
      <c r="A41" s="200" t="s">
        <v>319</v>
      </c>
      <c r="B41" s="165" t="s">
        <v>320</v>
      </c>
      <c r="C41" s="165">
        <v>50</v>
      </c>
      <c r="D41" s="164">
        <f>IF(LEFT(Control!$D$24,1)="N",1/12,1)</f>
        <v>1</v>
      </c>
      <c r="E41" s="319">
        <f>IF(SUM(L41)=0,"-",1)</f>
        <v>1</v>
      </c>
      <c r="F41" s="323" t="str">
        <f>LEFT(Control!$D$23,1)</f>
        <v>A</v>
      </c>
      <c r="G41" s="327" t="s">
        <v>118</v>
      </c>
      <c r="H41" s="176" t="str">
        <f>IF(G41="",B41&amp;TEXT(C41,"0000"),B41&amp;TEXT(C41,"0000")&amp;IF(C41="-","","_"&amp;LEFT(Control!$D$23,1)&amp;LEFT(Control!$D$22,LEN(Control!$D$22)-2)))</f>
        <v>TI0050_A8</v>
      </c>
      <c r="I41" s="177">
        <v>0.6</v>
      </c>
      <c r="J41" s="178">
        <f>INDEX(Ref!$D$7:$G$40,MATCH('Weather Cases'!D41,Ref!$C$7:$C$40,0),MATCH(LEFT(Control!$D$23,1)&amp;"MW",Ref!$D$6:$G$6,0))</f>
        <v>0.56499999999999995</v>
      </c>
      <c r="K41" s="178">
        <f>J41^2*0.6</f>
        <v>0.19153499999999996</v>
      </c>
      <c r="L41" s="473">
        <f>Ref!$Q$94</f>
        <v>0.8</v>
      </c>
      <c r="M41" s="179">
        <f>Ref!$R$94</f>
        <v>6850</v>
      </c>
      <c r="N41" s="179">
        <v>0</v>
      </c>
      <c r="O41" s="181">
        <f>Ref!$L$57</f>
        <v>-14</v>
      </c>
      <c r="P41" s="204" t="s">
        <v>300</v>
      </c>
      <c r="Q41" s="179">
        <v>1</v>
      </c>
      <c r="R41" s="204" t="s">
        <v>300</v>
      </c>
      <c r="S41" s="197" t="s">
        <v>301</v>
      </c>
      <c r="T41" s="181">
        <f t="shared" si="1"/>
        <v>1.2</v>
      </c>
      <c r="U41" s="203"/>
      <c r="V41" s="166" t="s">
        <v>321</v>
      </c>
      <c r="W41" s="172" t="s">
        <v>303</v>
      </c>
      <c r="X41" s="166"/>
      <c r="Y41" s="166"/>
    </row>
    <row r="42" spans="1:25" s="6" customFormat="1" ht="14.25" x14ac:dyDescent="0.2">
      <c r="A42" s="200" t="s">
        <v>322</v>
      </c>
      <c r="B42" s="165" t="s">
        <v>323</v>
      </c>
      <c r="C42" s="165">
        <v>50</v>
      </c>
      <c r="D42" s="164" t="s">
        <v>22</v>
      </c>
      <c r="E42" s="319">
        <f>IF(SUM(L42)=0,"-",1)</f>
        <v>1</v>
      </c>
      <c r="F42" s="323" t="s">
        <v>22</v>
      </c>
      <c r="G42" s="327" t="s">
        <v>118</v>
      </c>
      <c r="H42" s="176" t="str">
        <f>IF(G42="",B42&amp;TEXT(C42,"0000"),B42&amp;TEXT(C42,"0000")&amp;IF(C42="-","","_"&amp;LEFT(Control!$D$22,LEN(Control!$D$22)-2)))</f>
        <v>EI0050_8</v>
      </c>
      <c r="I42" s="177">
        <v>0.6</v>
      </c>
      <c r="J42" s="178">
        <f>(K42/0.6)^0.5</f>
        <v>5.7735026918962582</v>
      </c>
      <c r="K42" s="180">
        <v>20</v>
      </c>
      <c r="L42" s="473">
        <f>Ref!T$94</f>
        <v>5.5</v>
      </c>
      <c r="M42" s="179">
        <f>Ref!U$94</f>
        <v>3550</v>
      </c>
      <c r="N42" s="179">
        <v>0</v>
      </c>
      <c r="O42" s="181">
        <f>Ref!$L$57</f>
        <v>-14</v>
      </c>
      <c r="P42" s="204" t="s">
        <v>300</v>
      </c>
      <c r="Q42" s="179">
        <v>1</v>
      </c>
      <c r="R42" s="204" t="s">
        <v>300</v>
      </c>
      <c r="S42" s="198" t="s">
        <v>317</v>
      </c>
      <c r="T42" s="181">
        <f t="shared" si="1"/>
        <v>1.2</v>
      </c>
      <c r="U42" s="166"/>
      <c r="V42" s="166" t="s">
        <v>321</v>
      </c>
      <c r="W42" s="172"/>
      <c r="X42" s="166"/>
      <c r="Y42" s="166"/>
    </row>
    <row r="43" spans="1:25" s="6" customFormat="1" ht="15" hidden="1" x14ac:dyDescent="0.2">
      <c r="A43" s="471" t="s">
        <v>324</v>
      </c>
      <c r="B43" s="472" t="s">
        <v>22</v>
      </c>
      <c r="C43" s="485" t="s">
        <v>325</v>
      </c>
      <c r="D43" s="164"/>
      <c r="E43" s="319" t="s">
        <v>22</v>
      </c>
      <c r="F43" s="323" t="s">
        <v>22</v>
      </c>
      <c r="G43" s="327" t="s">
        <v>22</v>
      </c>
      <c r="H43" s="176"/>
      <c r="I43" s="473"/>
      <c r="J43" s="179"/>
      <c r="K43" s="179"/>
      <c r="L43" s="473"/>
      <c r="M43" s="179"/>
      <c r="N43" s="179">
        <v>0</v>
      </c>
      <c r="O43" s="179"/>
      <c r="P43" s="204" t="s">
        <v>300</v>
      </c>
      <c r="Q43" s="179"/>
      <c r="R43" s="204" t="s">
        <v>300</v>
      </c>
      <c r="S43" s="474"/>
      <c r="T43" s="179"/>
      <c r="U43" s="506"/>
      <c r="V43" s="166"/>
      <c r="W43" s="172"/>
      <c r="X43" s="166"/>
      <c r="Y43" s="166"/>
    </row>
    <row r="44" spans="1:25" s="6" customFormat="1" ht="14.25" x14ac:dyDescent="0.2">
      <c r="A44" s="200" t="s">
        <v>326</v>
      </c>
      <c r="B44" s="165" t="s">
        <v>327</v>
      </c>
      <c r="C44" s="165">
        <f>Control!$D$25</f>
        <v>1</v>
      </c>
      <c r="D44" s="164" t="s">
        <v>22</v>
      </c>
      <c r="E44" s="319">
        <f>IF(SUM(K44:L44)=0,"-",1)</f>
        <v>1</v>
      </c>
      <c r="F44" s="323" t="s">
        <v>22</v>
      </c>
      <c r="G44" s="327" t="s">
        <v>118</v>
      </c>
      <c r="H44" s="176" t="str">
        <f>IF(G44=0,B44&amp;TEXT(Control!$D$25,"0000"),B44&amp;TEXT(Control!$D$25,"0000")&amp;"_"&amp;LEFT(Control!$D$22,LEN(Control!$D$22)-2))</f>
        <v>RW0001_8</v>
      </c>
      <c r="I44" s="177">
        <v>0.6</v>
      </c>
      <c r="J44" s="178">
        <f>(K44/0.6)^0.5</f>
        <v>12.909944487358057</v>
      </c>
      <c r="K44" s="180">
        <f>100*Control!$D$25</f>
        <v>100</v>
      </c>
      <c r="L44" s="473">
        <v>0</v>
      </c>
      <c r="M44" s="179">
        <v>0</v>
      </c>
      <c r="N44" s="179">
        <v>0</v>
      </c>
      <c r="O44" s="181">
        <f>Ref!$L$54</f>
        <v>5</v>
      </c>
      <c r="P44" s="204" t="s">
        <v>300</v>
      </c>
      <c r="Q44" s="179">
        <v>1</v>
      </c>
      <c r="R44" s="204" t="s">
        <v>300</v>
      </c>
      <c r="S44" s="198" t="s">
        <v>317</v>
      </c>
      <c r="T44" s="181">
        <f t="shared" si="1"/>
        <v>1</v>
      </c>
      <c r="U44" s="166"/>
      <c r="V44" s="166" t="s">
        <v>328</v>
      </c>
      <c r="W44" s="172" t="s">
        <v>329</v>
      </c>
      <c r="X44" s="166"/>
      <c r="Y44" s="166"/>
    </row>
    <row r="45" spans="1:25" s="6" customFormat="1" ht="14.25" x14ac:dyDescent="0.2">
      <c r="A45" s="200" t="s">
        <v>330</v>
      </c>
      <c r="B45" s="165" t="s">
        <v>331</v>
      </c>
      <c r="C45" s="165">
        <f>Control!$D$25</f>
        <v>1</v>
      </c>
      <c r="D45" s="164" t="s">
        <v>22</v>
      </c>
      <c r="E45" s="319">
        <f>IF(SUM(L45)=0,"-",1)</f>
        <v>1</v>
      </c>
      <c r="F45" s="323" t="s">
        <v>22</v>
      </c>
      <c r="G45" s="327" t="s">
        <v>118</v>
      </c>
      <c r="H45" s="176" t="str">
        <f>IF(G45=0,B45&amp;TEXT(Control!$D$25,"0000"),B45&amp;TEXT(Control!$D$25,"0000")&amp;"_"&amp;LEFT(Control!$D$22,LEN(Control!$D$22)-2))</f>
        <v>RS0001_8</v>
      </c>
      <c r="I45" s="177">
        <v>0.6</v>
      </c>
      <c r="J45" s="179">
        <v>0</v>
      </c>
      <c r="K45" s="179">
        <v>0</v>
      </c>
      <c r="L45" s="473">
        <f>Ref!$N$120</f>
        <v>1</v>
      </c>
      <c r="M45" s="179">
        <f>Ref!$O$120</f>
        <v>3900</v>
      </c>
      <c r="N45" s="179">
        <v>0</v>
      </c>
      <c r="O45" s="181">
        <f>Ref!$L$58</f>
        <v>-5</v>
      </c>
      <c r="P45" s="204" t="s">
        <v>300</v>
      </c>
      <c r="Q45" s="179">
        <v>1</v>
      </c>
      <c r="R45" s="204" t="s">
        <v>300</v>
      </c>
      <c r="S45" s="198" t="s">
        <v>317</v>
      </c>
      <c r="T45" s="181">
        <f t="shared" si="1"/>
        <v>1.2</v>
      </c>
      <c r="U45" s="166"/>
      <c r="V45" s="166" t="s">
        <v>318</v>
      </c>
      <c r="W45" s="172" t="s">
        <v>329</v>
      </c>
      <c r="X45" s="166"/>
      <c r="Y45" s="166"/>
    </row>
    <row r="46" spans="1:25" s="6" customFormat="1" ht="14.25" x14ac:dyDescent="0.2">
      <c r="A46" s="200" t="s">
        <v>332</v>
      </c>
      <c r="B46" s="165" t="s">
        <v>333</v>
      </c>
      <c r="C46" s="165">
        <f>Control!$D$25</f>
        <v>1</v>
      </c>
      <c r="D46" s="164" t="s">
        <v>22</v>
      </c>
      <c r="E46" s="319">
        <f>IF(SUM(L46)=0,"-",1)</f>
        <v>1</v>
      </c>
      <c r="F46" s="323" t="s">
        <v>22</v>
      </c>
      <c r="G46" s="327" t="s">
        <v>118</v>
      </c>
      <c r="H46" s="176" t="str">
        <f>IF(G46=0,B46&amp;TEXT(Control!$D$25,"0000"),B46&amp;TEXT(Control!$D$25,"0000")&amp;"_"&amp;LEFT(Control!$D$22,LEN(Control!$D$22)-2))</f>
        <v>RI0001_8</v>
      </c>
      <c r="I46" s="177">
        <v>0.6</v>
      </c>
      <c r="J46" s="179">
        <v>0</v>
      </c>
      <c r="K46" s="179">
        <v>0</v>
      </c>
      <c r="L46" s="473">
        <f>Ref!$T$120</f>
        <v>1.8</v>
      </c>
      <c r="M46" s="179">
        <f>Ref!$U$120</f>
        <v>6850</v>
      </c>
      <c r="N46" s="179">
        <v>0</v>
      </c>
      <c r="O46" s="181">
        <f>Ref!$L$57</f>
        <v>-14</v>
      </c>
      <c r="P46" s="204" t="s">
        <v>300</v>
      </c>
      <c r="Q46" s="179">
        <v>1</v>
      </c>
      <c r="R46" s="204" t="s">
        <v>300</v>
      </c>
      <c r="S46" s="198" t="s">
        <v>317</v>
      </c>
      <c r="T46" s="181">
        <f t="shared" si="1"/>
        <v>1.2</v>
      </c>
      <c r="U46" s="166"/>
      <c r="V46" s="166" t="s">
        <v>321</v>
      </c>
      <c r="W46" s="172" t="s">
        <v>329</v>
      </c>
      <c r="X46" s="166"/>
      <c r="Y46" s="166"/>
    </row>
    <row r="47" spans="1:25" s="6" customFormat="1" ht="15" hidden="1" x14ac:dyDescent="0.2">
      <c r="A47" s="471" t="s">
        <v>334</v>
      </c>
      <c r="B47" s="472"/>
      <c r="C47" s="472"/>
      <c r="D47" s="164"/>
      <c r="E47" s="319" t="s">
        <v>22</v>
      </c>
      <c r="F47" s="323" t="s">
        <v>22</v>
      </c>
      <c r="G47" s="327" t="s">
        <v>22</v>
      </c>
      <c r="H47" s="176"/>
      <c r="I47" s="473"/>
      <c r="J47" s="179"/>
      <c r="K47" s="179"/>
      <c r="L47" s="473"/>
      <c r="M47" s="179"/>
      <c r="N47" s="179">
        <v>0</v>
      </c>
      <c r="O47" s="179"/>
      <c r="P47" s="204" t="s">
        <v>300</v>
      </c>
      <c r="Q47" s="179"/>
      <c r="R47" s="204" t="s">
        <v>300</v>
      </c>
      <c r="S47" s="474"/>
      <c r="T47" s="179"/>
      <c r="U47" s="506"/>
      <c r="V47" s="166"/>
      <c r="W47" s="172"/>
      <c r="X47" s="166"/>
      <c r="Y47" s="166"/>
    </row>
    <row r="48" spans="1:25" s="6" customFormat="1" ht="14.25" x14ac:dyDescent="0.2">
      <c r="A48" s="200" t="s">
        <v>335</v>
      </c>
      <c r="B48" s="165" t="s">
        <v>336</v>
      </c>
      <c r="C48" s="164" t="s">
        <v>22</v>
      </c>
      <c r="D48" s="164" t="s">
        <v>22</v>
      </c>
      <c r="E48" s="319">
        <f>IF(OR(Control!$D$5="Y",SUM(K48:L48)=0),"-",1)</f>
        <v>1</v>
      </c>
      <c r="F48" s="323" t="s">
        <v>22</v>
      </c>
      <c r="G48" s="327" t="s">
        <v>22</v>
      </c>
      <c r="H48" s="176" t="str">
        <f>B48</f>
        <v>CM1</v>
      </c>
      <c r="I48" s="177">
        <v>0.6</v>
      </c>
      <c r="J48" s="178">
        <f>(K48/0.6)^0.5</f>
        <v>12.909944487358057</v>
      </c>
      <c r="K48" s="180">
        <v>100</v>
      </c>
      <c r="L48" s="473">
        <v>0</v>
      </c>
      <c r="M48" s="179">
        <v>0</v>
      </c>
      <c r="N48" s="179">
        <v>0</v>
      </c>
      <c r="O48" s="179">
        <f>Ref!$L$59</f>
        <v>5</v>
      </c>
      <c r="P48" s="204" t="s">
        <v>300</v>
      </c>
      <c r="Q48" s="179">
        <v>1</v>
      </c>
      <c r="R48" s="204" t="s">
        <v>300</v>
      </c>
      <c r="S48" s="198" t="s">
        <v>317</v>
      </c>
      <c r="T48" s="181">
        <f t="shared" si="1"/>
        <v>1</v>
      </c>
      <c r="U48" s="166"/>
      <c r="V48" s="166" t="s">
        <v>337</v>
      </c>
      <c r="W48" s="173"/>
      <c r="X48" s="166"/>
      <c r="Y48" s="166"/>
    </row>
    <row r="49" spans="1:28" s="6" customFormat="1" ht="14.25" x14ac:dyDescent="0.2">
      <c r="A49" s="200" t="s">
        <v>338</v>
      </c>
      <c r="B49" s="165" t="s">
        <v>339</v>
      </c>
      <c r="C49" s="164" t="s">
        <v>22</v>
      </c>
      <c r="D49" s="164">
        <v>1</v>
      </c>
      <c r="E49" s="319">
        <f>IF(OR(Control!$D$5="Y",SUM(K49:L49)=0),"-",1)</f>
        <v>1</v>
      </c>
      <c r="F49" s="323" t="str">
        <f>LEFT(Control!$D$23,1)</f>
        <v>A</v>
      </c>
      <c r="G49" s="327" t="s">
        <v>22</v>
      </c>
      <c r="H49" s="176" t="str">
        <f>B49&amp;"_"&amp;LEFT(Control!$D$23,1)</f>
        <v>CM2_A</v>
      </c>
      <c r="I49" s="177">
        <v>0.6</v>
      </c>
      <c r="J49" s="178">
        <f>INDEX(Ref!$D$7:$G$40,MATCH('Weather Cases'!D49,Ref!$C$7:$C$40,0),MATCH(LEFT(Control!$D$23,1)&amp;"MW",Ref!$D$6:$G$6,0))</f>
        <v>0.56499999999999995</v>
      </c>
      <c r="K49" s="178">
        <f>J49^2*0.6</f>
        <v>0.19153499999999996</v>
      </c>
      <c r="L49" s="473">
        <v>0</v>
      </c>
      <c r="M49" s="179">
        <v>0</v>
      </c>
      <c r="N49" s="179">
        <v>0</v>
      </c>
      <c r="O49" s="179">
        <f>Ref!$L$59</f>
        <v>5</v>
      </c>
      <c r="P49" s="204" t="s">
        <v>300</v>
      </c>
      <c r="Q49" s="179">
        <v>1</v>
      </c>
      <c r="R49" s="204" t="s">
        <v>300</v>
      </c>
      <c r="S49" s="197" t="s">
        <v>301</v>
      </c>
      <c r="T49" s="181">
        <f t="shared" si="1"/>
        <v>1</v>
      </c>
      <c r="U49" s="203"/>
      <c r="V49" s="166" t="s">
        <v>337</v>
      </c>
      <c r="W49" s="172"/>
      <c r="X49" s="166"/>
      <c r="Y49" s="166"/>
      <c r="AB49" s="126" t="s">
        <v>229</v>
      </c>
    </row>
    <row r="50" spans="1:28" s="6" customFormat="1" ht="14.25" x14ac:dyDescent="0.2">
      <c r="A50" s="200" t="s">
        <v>340</v>
      </c>
      <c r="B50" s="165" t="s">
        <v>341</v>
      </c>
      <c r="C50" s="164" t="s">
        <v>22</v>
      </c>
      <c r="D50" s="164" t="s">
        <v>22</v>
      </c>
      <c r="E50" s="319">
        <f>IF(OR(Control!$D$5="Y",L50=0),"-",1)</f>
        <v>1</v>
      </c>
      <c r="F50" s="323" t="s">
        <v>22</v>
      </c>
      <c r="G50" s="327" t="s">
        <v>118</v>
      </c>
      <c r="H50" s="176" t="str">
        <f>IF(G50="-",B50,B50&amp;"_"&amp;LEFT(Control!$D$22,LEN(Control!$D$22)-2))</f>
        <v>CM2S_8</v>
      </c>
      <c r="I50" s="177">
        <v>0.6</v>
      </c>
      <c r="J50" s="178">
        <f>(K50/0.6)^0.5</f>
        <v>5.7735026918962582</v>
      </c>
      <c r="K50" s="179">
        <f>Ref!$P$120</f>
        <v>20</v>
      </c>
      <c r="L50" s="473">
        <f>Ref!$N$120</f>
        <v>1</v>
      </c>
      <c r="M50" s="179">
        <f>Ref!$O$120</f>
        <v>3900</v>
      </c>
      <c r="N50" s="179">
        <v>0</v>
      </c>
      <c r="O50" s="181">
        <f>Ref!$L$58</f>
        <v>-5</v>
      </c>
      <c r="P50" s="204" t="s">
        <v>300</v>
      </c>
      <c r="Q50" s="179">
        <v>1</v>
      </c>
      <c r="R50" s="204" t="s">
        <v>300</v>
      </c>
      <c r="S50" s="198" t="s">
        <v>317</v>
      </c>
      <c r="T50" s="181">
        <f t="shared" si="1"/>
        <v>1.2</v>
      </c>
      <c r="U50" s="166"/>
      <c r="V50" s="166" t="s">
        <v>318</v>
      </c>
      <c r="W50" s="172" t="s">
        <v>342</v>
      </c>
      <c r="X50" s="166"/>
      <c r="Y50" s="166"/>
      <c r="AB50" s="126" t="s">
        <v>229</v>
      </c>
    </row>
    <row r="51" spans="1:28" s="6" customFormat="1" ht="14.25" x14ac:dyDescent="0.2">
      <c r="A51" s="200" t="s">
        <v>343</v>
      </c>
      <c r="B51" s="165" t="s">
        <v>344</v>
      </c>
      <c r="C51" s="164" t="s">
        <v>22</v>
      </c>
      <c r="D51" s="164" t="s">
        <v>22</v>
      </c>
      <c r="E51" s="319">
        <f>IF(OR(Control!$D$5="Y",L51=0),"-",1)</f>
        <v>1</v>
      </c>
      <c r="F51" s="323" t="s">
        <v>22</v>
      </c>
      <c r="G51" s="327" t="s">
        <v>118</v>
      </c>
      <c r="H51" s="176" t="str">
        <f>IF(G51="-",B51,B51&amp;"_"&amp;LEFT(Control!$D$22,LEN(Control!$D$22)-2))</f>
        <v>CM2I_8</v>
      </c>
      <c r="I51" s="177">
        <v>0.6</v>
      </c>
      <c r="J51" s="178">
        <f>(K51/0.6)^0.5</f>
        <v>5.7735026918962582</v>
      </c>
      <c r="K51" s="179">
        <f>Ref!$V$120</f>
        <v>20</v>
      </c>
      <c r="L51" s="473">
        <f>Ref!$T$120</f>
        <v>1.8</v>
      </c>
      <c r="M51" s="179">
        <f>Ref!$U$120</f>
        <v>6850</v>
      </c>
      <c r="N51" s="179">
        <v>0</v>
      </c>
      <c r="O51" s="181">
        <f>Ref!$L$57</f>
        <v>-14</v>
      </c>
      <c r="P51" s="204" t="s">
        <v>300</v>
      </c>
      <c r="Q51" s="179">
        <v>1</v>
      </c>
      <c r="R51" s="204" t="s">
        <v>300</v>
      </c>
      <c r="S51" s="198" t="s">
        <v>317</v>
      </c>
      <c r="T51" s="181">
        <f t="shared" si="1"/>
        <v>1.2</v>
      </c>
      <c r="U51" s="166"/>
      <c r="V51" s="166" t="s">
        <v>321</v>
      </c>
      <c r="W51" s="172" t="s">
        <v>342</v>
      </c>
      <c r="X51" s="166"/>
      <c r="Y51" s="166"/>
      <c r="AB51" s="126" t="s">
        <v>229</v>
      </c>
    </row>
    <row r="52" spans="1:28" s="6" customFormat="1" ht="14.25" x14ac:dyDescent="0.2">
      <c r="A52" s="200" t="s">
        <v>345</v>
      </c>
      <c r="B52" s="165" t="s">
        <v>346</v>
      </c>
      <c r="C52" s="164" t="s">
        <v>22</v>
      </c>
      <c r="D52" s="164">
        <v>4</v>
      </c>
      <c r="E52" s="319">
        <f>IF(OR(Control!$D$5="Y",SUM(K52:L52)=0),"-",1)</f>
        <v>1</v>
      </c>
      <c r="F52" s="323" t="str">
        <f>LEFT(Control!$D$23,1)</f>
        <v>A</v>
      </c>
      <c r="G52" s="327" t="s">
        <v>118</v>
      </c>
      <c r="H52" s="176" t="str">
        <f>IF(G52="-",B52,B52&amp;"_"&amp;LEFT(Control!$D$23,1)&amp;LEFT(Control!$D$22,LEN(Control!$D$22)-2))</f>
        <v>CM3_A8</v>
      </c>
      <c r="I52" s="177">
        <v>0.6</v>
      </c>
      <c r="J52" s="178">
        <f>INDEX(Ref!$D$7:$G$40,MATCH('Weather Cases'!D52,Ref!$C$7:$C$40,0),MATCH(LEFT(Control!$D$23,1)&amp;"MW",Ref!$D$6:$G$6,0))</f>
        <v>0.68100000000000005</v>
      </c>
      <c r="K52" s="178">
        <f>J52^2*0.6</f>
        <v>0.27825660000000002</v>
      </c>
      <c r="L52" s="473">
        <v>0</v>
      </c>
      <c r="M52" s="179">
        <v>0</v>
      </c>
      <c r="N52" s="179">
        <v>0</v>
      </c>
      <c r="O52" s="179">
        <f>Ref!$L$57</f>
        <v>-14</v>
      </c>
      <c r="P52" s="204" t="s">
        <v>300</v>
      </c>
      <c r="Q52" s="179">
        <v>1</v>
      </c>
      <c r="R52" s="204" t="s">
        <v>300</v>
      </c>
      <c r="S52" s="197" t="s">
        <v>301</v>
      </c>
      <c r="T52" s="181">
        <f t="shared" si="1"/>
        <v>1</v>
      </c>
      <c r="U52" s="203"/>
      <c r="V52" s="166" t="s">
        <v>310</v>
      </c>
      <c r="W52" s="172"/>
      <c r="X52" s="166"/>
      <c r="Y52" s="166"/>
    </row>
    <row r="53" spans="1:28" s="6" customFormat="1" ht="14.25" x14ac:dyDescent="0.2">
      <c r="A53" s="200" t="s">
        <v>347</v>
      </c>
      <c r="B53" s="165" t="s">
        <v>348</v>
      </c>
      <c r="C53" s="164" t="s">
        <v>22</v>
      </c>
      <c r="D53" s="164" t="s">
        <v>22</v>
      </c>
      <c r="E53" s="319">
        <f>IF(OR(Control!$D$5="Y",L53=0),"-",1)</f>
        <v>1</v>
      </c>
      <c r="F53" s="323" t="s">
        <v>22</v>
      </c>
      <c r="G53" s="327" t="s">
        <v>118</v>
      </c>
      <c r="H53" s="176" t="str">
        <f>IF(G53="-",B53,B53&amp;"_"&amp;LEFT(Control!$D$22,LEN(Control!$D$22)-2))</f>
        <v>CM3S_8</v>
      </c>
      <c r="I53" s="177">
        <v>0.6</v>
      </c>
      <c r="J53" s="178">
        <f>(K53/0.6)^0.5</f>
        <v>5.7735026918962582</v>
      </c>
      <c r="K53" s="182">
        <f>Ref!$P$120</f>
        <v>20</v>
      </c>
      <c r="L53" s="473">
        <f>L50</f>
        <v>1</v>
      </c>
      <c r="M53" s="179">
        <f>M50</f>
        <v>3900</v>
      </c>
      <c r="N53" s="179">
        <v>0</v>
      </c>
      <c r="O53" s="181">
        <f>Ref!$L$58</f>
        <v>-5</v>
      </c>
      <c r="P53" s="204" t="s">
        <v>300</v>
      </c>
      <c r="Q53" s="179">
        <v>1</v>
      </c>
      <c r="R53" s="204" t="s">
        <v>300</v>
      </c>
      <c r="S53" s="198" t="s">
        <v>317</v>
      </c>
      <c r="T53" s="181">
        <f t="shared" si="1"/>
        <v>1.2</v>
      </c>
      <c r="U53" s="166"/>
      <c r="V53" s="166" t="s">
        <v>318</v>
      </c>
      <c r="W53" s="172" t="s">
        <v>349</v>
      </c>
      <c r="X53" s="166"/>
      <c r="Y53" s="166"/>
      <c r="AB53" s="126" t="s">
        <v>229</v>
      </c>
    </row>
    <row r="54" spans="1:28" s="6" customFormat="1" ht="14.25" x14ac:dyDescent="0.2">
      <c r="A54" s="200" t="s">
        <v>350</v>
      </c>
      <c r="B54" s="165" t="s">
        <v>351</v>
      </c>
      <c r="C54" s="164" t="s">
        <v>22</v>
      </c>
      <c r="D54" s="164" t="s">
        <v>22</v>
      </c>
      <c r="E54" s="319">
        <f>IF(OR(Control!$D$5="Y",L54=0),"-",1)</f>
        <v>1</v>
      </c>
      <c r="F54" s="323" t="s">
        <v>22</v>
      </c>
      <c r="G54" s="327" t="s">
        <v>118</v>
      </c>
      <c r="H54" s="176" t="str">
        <f>IF(G54="-",B54,B54&amp;"_"&amp;LEFT(Control!$D$22,LEN(Control!$D$22)-2))</f>
        <v>CM3I_8</v>
      </c>
      <c r="I54" s="177">
        <v>0.6</v>
      </c>
      <c r="J54" s="178">
        <f>(K54/0.6)^0.5</f>
        <v>5.7735026918962582</v>
      </c>
      <c r="K54" s="179">
        <f>Ref!$V$120</f>
        <v>20</v>
      </c>
      <c r="L54" s="473">
        <f>L51</f>
        <v>1.8</v>
      </c>
      <c r="M54" s="179">
        <f>M51</f>
        <v>6850</v>
      </c>
      <c r="N54" s="179">
        <v>0</v>
      </c>
      <c r="O54" s="181">
        <f>Ref!$L$57</f>
        <v>-14</v>
      </c>
      <c r="P54" s="204" t="s">
        <v>300</v>
      </c>
      <c r="Q54" s="179">
        <v>1</v>
      </c>
      <c r="R54" s="204" t="s">
        <v>300</v>
      </c>
      <c r="S54" s="198" t="s">
        <v>317</v>
      </c>
      <c r="T54" s="181">
        <f t="shared" si="1"/>
        <v>1.2</v>
      </c>
      <c r="U54" s="166"/>
      <c r="V54" s="166" t="s">
        <v>321</v>
      </c>
      <c r="W54" s="172" t="s">
        <v>349</v>
      </c>
      <c r="X54" s="166"/>
      <c r="Y54" s="166"/>
      <c r="AB54" s="126" t="s">
        <v>229</v>
      </c>
    </row>
    <row r="55" spans="1:28" s="6" customFormat="1" ht="22.9" hidden="1" customHeight="1" x14ac:dyDescent="0.2">
      <c r="A55" s="471" t="s">
        <v>352</v>
      </c>
      <c r="B55" s="165"/>
      <c r="C55" s="475" t="s">
        <v>353</v>
      </c>
      <c r="D55" s="476"/>
      <c r="E55" s="319" t="s">
        <v>22</v>
      </c>
      <c r="F55" s="323" t="s">
        <v>22</v>
      </c>
      <c r="G55" s="327" t="s">
        <v>22</v>
      </c>
      <c r="H55" s="477"/>
      <c r="I55" s="473"/>
      <c r="J55" s="355"/>
      <c r="K55" s="355"/>
      <c r="L55" s="504"/>
      <c r="M55" s="355"/>
      <c r="N55" s="355"/>
      <c r="O55" s="355"/>
      <c r="P55" s="204" t="s">
        <v>300</v>
      </c>
      <c r="Q55" s="355"/>
      <c r="R55" s="204" t="s">
        <v>300</v>
      </c>
      <c r="S55" s="478"/>
      <c r="T55" s="355"/>
      <c r="U55" s="202"/>
      <c r="V55" s="166"/>
      <c r="W55" s="172"/>
      <c r="X55" s="166"/>
      <c r="Y55" s="166"/>
    </row>
    <row r="56" spans="1:28" s="6" customFormat="1" x14ac:dyDescent="0.2">
      <c r="A56" s="200" t="s">
        <v>354</v>
      </c>
      <c r="B56" s="165" t="s">
        <v>355</v>
      </c>
      <c r="C56" s="165" t="s">
        <v>22</v>
      </c>
      <c r="D56" s="165" t="s">
        <v>22</v>
      </c>
      <c r="E56" s="319">
        <f>IF(Control!$D10="*None*","-",1)</f>
        <v>1</v>
      </c>
      <c r="F56" s="323" t="s">
        <v>22</v>
      </c>
      <c r="G56" s="327" t="s">
        <v>22</v>
      </c>
      <c r="H56" s="176" t="str">
        <f>B56</f>
        <v>VDC</v>
      </c>
      <c r="I56" s="177">
        <v>0.6</v>
      </c>
      <c r="J56" s="178">
        <f>(K56/0.6)^0.5</f>
        <v>7.0710678118654755</v>
      </c>
      <c r="K56" s="181">
        <v>30</v>
      </c>
      <c r="L56" s="177">
        <v>0</v>
      </c>
      <c r="M56" s="181">
        <v>0</v>
      </c>
      <c r="N56" s="181">
        <v>0</v>
      </c>
      <c r="O56" s="181">
        <f>Ref!$L$54</f>
        <v>5</v>
      </c>
      <c r="P56" s="204" t="s">
        <v>300</v>
      </c>
      <c r="Q56" s="179">
        <v>1</v>
      </c>
      <c r="R56" s="204" t="s">
        <v>300</v>
      </c>
      <c r="S56" s="198" t="s">
        <v>317</v>
      </c>
      <c r="T56" s="181">
        <f t="shared" si="1"/>
        <v>1</v>
      </c>
      <c r="U56" s="166"/>
      <c r="V56" s="166"/>
      <c r="W56" s="172"/>
      <c r="X56" s="166"/>
      <c r="Y56" s="166"/>
    </row>
    <row r="57" spans="1:28" s="6" customFormat="1" ht="14.25" x14ac:dyDescent="0.2">
      <c r="A57" s="200" t="s">
        <v>356</v>
      </c>
      <c r="B57" s="165" t="s">
        <v>357</v>
      </c>
      <c r="C57" s="165" t="s">
        <v>22</v>
      </c>
      <c r="D57" s="165" t="s">
        <v>22</v>
      </c>
      <c r="E57" s="319">
        <f>IF(Control!$D$5="Y","-",1)</f>
        <v>1</v>
      </c>
      <c r="F57" s="323" t="s">
        <v>22</v>
      </c>
      <c r="G57" s="327" t="s">
        <v>22</v>
      </c>
      <c r="H57" s="176" t="str">
        <f>B57</f>
        <v>EDS</v>
      </c>
      <c r="I57" s="177">
        <v>0.6</v>
      </c>
      <c r="J57" s="181">
        <v>0</v>
      </c>
      <c r="K57" s="181">
        <v>0</v>
      </c>
      <c r="L57" s="177">
        <v>0</v>
      </c>
      <c r="M57" s="181">
        <v>0</v>
      </c>
      <c r="N57" s="181">
        <v>0</v>
      </c>
      <c r="O57" s="181">
        <f>Ref!$L$54</f>
        <v>5</v>
      </c>
      <c r="P57" s="204" t="s">
        <v>300</v>
      </c>
      <c r="Q57" s="179">
        <v>1</v>
      </c>
      <c r="R57" s="204" t="s">
        <v>300</v>
      </c>
      <c r="S57" s="198" t="s">
        <v>317</v>
      </c>
      <c r="T57" s="181">
        <f t="shared" si="1"/>
        <v>1</v>
      </c>
      <c r="U57" s="166"/>
      <c r="V57" s="166" t="s">
        <v>328</v>
      </c>
      <c r="W57" s="172"/>
      <c r="X57" s="166"/>
      <c r="Y57" s="166"/>
    </row>
    <row r="58" spans="1:28" s="6" customFormat="1" ht="14.25" x14ac:dyDescent="0.2">
      <c r="A58" s="200" t="s">
        <v>358</v>
      </c>
      <c r="B58" s="165" t="s">
        <v>359</v>
      </c>
      <c r="C58" s="165" t="s">
        <v>22</v>
      </c>
      <c r="D58" s="165" t="s">
        <v>22</v>
      </c>
      <c r="E58" s="319">
        <f>IF(Control!$D$5="Y","-",1)</f>
        <v>1</v>
      </c>
      <c r="F58" s="323" t="s">
        <v>22</v>
      </c>
      <c r="G58" s="327" t="s">
        <v>22</v>
      </c>
      <c r="H58" s="176" t="str">
        <f>B58</f>
        <v>EDW</v>
      </c>
      <c r="I58" s="177">
        <v>0.6</v>
      </c>
      <c r="J58" s="178">
        <f>(K58/0.6)^0.5</f>
        <v>12.909944487358057</v>
      </c>
      <c r="K58" s="181">
        <v>100</v>
      </c>
      <c r="L58" s="177">
        <v>0</v>
      </c>
      <c r="M58" s="181">
        <v>0</v>
      </c>
      <c r="N58" s="181">
        <v>0</v>
      </c>
      <c r="O58" s="181">
        <f>Ref!$L$54</f>
        <v>5</v>
      </c>
      <c r="P58" s="204"/>
      <c r="Q58" s="179">
        <v>1</v>
      </c>
      <c r="R58" s="204"/>
      <c r="S58" s="198" t="s">
        <v>317</v>
      </c>
      <c r="T58" s="181">
        <f t="shared" si="1"/>
        <v>1</v>
      </c>
      <c r="U58" s="166"/>
      <c r="V58" s="166" t="s">
        <v>328</v>
      </c>
      <c r="W58" s="172"/>
      <c r="X58" s="166"/>
      <c r="Y58" s="166"/>
    </row>
    <row r="59" spans="1:28" s="6" customFormat="1" ht="14.25" x14ac:dyDescent="0.2">
      <c r="A59" s="200" t="s">
        <v>360</v>
      </c>
      <c r="B59" s="165" t="s">
        <v>361</v>
      </c>
      <c r="C59" s="165" t="s">
        <v>22</v>
      </c>
      <c r="D59" s="165" t="s">
        <v>22</v>
      </c>
      <c r="E59" s="319">
        <f>IF(Control!$D$5="Y","-",1)</f>
        <v>1</v>
      </c>
      <c r="F59" s="323" t="s">
        <v>22</v>
      </c>
      <c r="G59" s="327" t="s">
        <v>22</v>
      </c>
      <c r="H59" s="176" t="str">
        <f>B59</f>
        <v>FTD</v>
      </c>
      <c r="I59" s="177">
        <v>0.6</v>
      </c>
      <c r="J59" s="178">
        <f>(K59/0.6)^0.5</f>
        <v>18.257418583505537</v>
      </c>
      <c r="K59" s="181">
        <v>200</v>
      </c>
      <c r="L59" s="177">
        <v>0</v>
      </c>
      <c r="M59" s="181">
        <v>0</v>
      </c>
      <c r="N59" s="181">
        <v>0</v>
      </c>
      <c r="O59" s="181">
        <f>Ref!L66</f>
        <v>42</v>
      </c>
      <c r="P59" s="204"/>
      <c r="Q59" s="179">
        <v>1</v>
      </c>
      <c r="R59" s="204"/>
      <c r="S59" s="198" t="s">
        <v>317</v>
      </c>
      <c r="T59" s="181">
        <f t="shared" ref="T59" si="3">IF(L59&gt;0,1.2,1)</f>
        <v>1</v>
      </c>
      <c r="U59" s="166"/>
      <c r="V59" s="166" t="s">
        <v>362</v>
      </c>
      <c r="W59" s="172" t="s">
        <v>363</v>
      </c>
      <c r="X59" s="166"/>
      <c r="Y59" s="166"/>
      <c r="AB59" s="126" t="s">
        <v>229</v>
      </c>
    </row>
    <row r="60" spans="1:28" s="6" customFormat="1" ht="14.25" x14ac:dyDescent="0.2">
      <c r="A60" s="200" t="s">
        <v>364</v>
      </c>
      <c r="B60" s="165" t="s">
        <v>365</v>
      </c>
      <c r="C60" s="312">
        <f>Control!I10</f>
        <v>120</v>
      </c>
      <c r="D60" s="165" t="s">
        <v>22</v>
      </c>
      <c r="E60" s="319">
        <f>IF(Control!$D10="*None*","-",1)</f>
        <v>1</v>
      </c>
      <c r="F60" s="323" t="s">
        <v>22</v>
      </c>
      <c r="G60" s="327" t="s">
        <v>22</v>
      </c>
      <c r="H60" s="570" t="str">
        <f>IF(E60="-","-",B60&amp;"_"&amp;C60)</f>
        <v>MOT_120</v>
      </c>
      <c r="I60" s="177">
        <v>0.6</v>
      </c>
      <c r="J60" s="181">
        <v>0</v>
      </c>
      <c r="K60" s="181">
        <v>0</v>
      </c>
      <c r="L60" s="177">
        <v>0</v>
      </c>
      <c r="M60" s="181">
        <v>0</v>
      </c>
      <c r="N60" s="181">
        <v>0</v>
      </c>
      <c r="O60" s="180">
        <f>C60</f>
        <v>120</v>
      </c>
      <c r="P60" s="204" t="s">
        <v>300</v>
      </c>
      <c r="Q60" s="179">
        <v>1</v>
      </c>
      <c r="R60" s="204" t="s">
        <v>300</v>
      </c>
      <c r="S60" s="198" t="s">
        <v>317</v>
      </c>
      <c r="T60" s="181">
        <f t="shared" si="1"/>
        <v>1</v>
      </c>
      <c r="U60" s="166"/>
      <c r="V60" s="166" t="s">
        <v>366</v>
      </c>
      <c r="W60" s="173"/>
      <c r="X60" s="166"/>
      <c r="Y60" s="166"/>
    </row>
    <row r="61" spans="1:28" s="6" customFormat="1" ht="14.25" hidden="1" x14ac:dyDescent="0.2">
      <c r="A61" s="200" t="s">
        <v>367</v>
      </c>
      <c r="B61" s="165" t="s">
        <v>365</v>
      </c>
      <c r="C61" s="312">
        <f>Control!I11</f>
        <v>90</v>
      </c>
      <c r="D61" s="165" t="s">
        <v>22</v>
      </c>
      <c r="E61" s="319" t="str">
        <f>IF(OR(Control!$D$11="*None*",C61=C60,C61=0),"-",1)</f>
        <v>-</v>
      </c>
      <c r="F61" s="323" t="s">
        <v>22</v>
      </c>
      <c r="G61" s="327" t="s">
        <v>22</v>
      </c>
      <c r="H61" s="570" t="str">
        <f t="shared" ref="H61:H63" si="4">IF(E61="-","-",B61&amp;"_"&amp;C61)</f>
        <v>-</v>
      </c>
      <c r="I61" s="177">
        <v>0.6</v>
      </c>
      <c r="J61" s="181">
        <v>0</v>
      </c>
      <c r="K61" s="181">
        <v>0</v>
      </c>
      <c r="L61" s="177">
        <v>0</v>
      </c>
      <c r="M61" s="181">
        <v>0</v>
      </c>
      <c r="N61" s="181">
        <v>0</v>
      </c>
      <c r="O61" s="180">
        <f t="shared" ref="O61:O63" si="5">C61</f>
        <v>90</v>
      </c>
      <c r="P61" s="204" t="s">
        <v>300</v>
      </c>
      <c r="Q61" s="179">
        <v>1</v>
      </c>
      <c r="R61" s="204" t="s">
        <v>300</v>
      </c>
      <c r="S61" s="198" t="s">
        <v>317</v>
      </c>
      <c r="T61" s="181">
        <f t="shared" si="1"/>
        <v>1</v>
      </c>
      <c r="U61" s="166"/>
      <c r="V61" s="166" t="s">
        <v>366</v>
      </c>
      <c r="W61" s="173"/>
      <c r="X61" s="166"/>
      <c r="Y61" s="166"/>
    </row>
    <row r="62" spans="1:28" s="6" customFormat="1" ht="14.25" hidden="1" x14ac:dyDescent="0.2">
      <c r="A62" s="200" t="s">
        <v>368</v>
      </c>
      <c r="B62" s="165" t="s">
        <v>365</v>
      </c>
      <c r="C62" s="312">
        <f>Control!I12</f>
        <v>120</v>
      </c>
      <c r="D62" s="165" t="s">
        <v>22</v>
      </c>
      <c r="E62" s="319" t="str">
        <f>IF(OR(Control!$D$12="*None*",C62=$C$61,C62=$C$60,C62=0),"-",1)</f>
        <v>-</v>
      </c>
      <c r="F62" s="323" t="s">
        <v>22</v>
      </c>
      <c r="G62" s="327" t="s">
        <v>22</v>
      </c>
      <c r="H62" s="570" t="str">
        <f t="shared" si="4"/>
        <v>-</v>
      </c>
      <c r="I62" s="177">
        <v>0.6</v>
      </c>
      <c r="J62" s="181">
        <v>0</v>
      </c>
      <c r="K62" s="181">
        <v>0</v>
      </c>
      <c r="L62" s="177">
        <v>0</v>
      </c>
      <c r="M62" s="181">
        <v>0</v>
      </c>
      <c r="N62" s="181">
        <v>0</v>
      </c>
      <c r="O62" s="180">
        <f t="shared" si="5"/>
        <v>120</v>
      </c>
      <c r="P62" s="204" t="s">
        <v>300</v>
      </c>
      <c r="Q62" s="179">
        <v>1</v>
      </c>
      <c r="R62" s="204" t="s">
        <v>300</v>
      </c>
      <c r="S62" s="198" t="s">
        <v>317</v>
      </c>
      <c r="T62" s="181">
        <f t="shared" si="1"/>
        <v>1</v>
      </c>
      <c r="U62" s="166"/>
      <c r="V62" s="166" t="s">
        <v>366</v>
      </c>
      <c r="W62" s="173"/>
      <c r="X62" s="166"/>
      <c r="Y62" s="166"/>
    </row>
    <row r="63" spans="1:28" s="6" customFormat="1" ht="14.25" hidden="1" x14ac:dyDescent="0.2">
      <c r="A63" s="200" t="s">
        <v>369</v>
      </c>
      <c r="B63" s="165" t="s">
        <v>365</v>
      </c>
      <c r="C63" s="312">
        <f>Control!I13</f>
        <v>0</v>
      </c>
      <c r="D63" s="165" t="s">
        <v>22</v>
      </c>
      <c r="E63" s="319" t="str">
        <f>IF(OR(Control!$D$13="*None*",C63=$C$61,C63=$C$60,C63=C62,C63=0),"-",1)</f>
        <v>-</v>
      </c>
      <c r="F63" s="323" t="s">
        <v>22</v>
      </c>
      <c r="G63" s="327" t="s">
        <v>22</v>
      </c>
      <c r="H63" s="570" t="str">
        <f t="shared" si="4"/>
        <v>-</v>
      </c>
      <c r="I63" s="177">
        <v>0.6</v>
      </c>
      <c r="J63" s="181">
        <v>0</v>
      </c>
      <c r="K63" s="181">
        <v>0</v>
      </c>
      <c r="L63" s="177">
        <v>0</v>
      </c>
      <c r="M63" s="181">
        <v>0</v>
      </c>
      <c r="N63" s="181">
        <v>0</v>
      </c>
      <c r="O63" s="180">
        <f t="shared" si="5"/>
        <v>0</v>
      </c>
      <c r="P63" s="204" t="s">
        <v>300</v>
      </c>
      <c r="Q63" s="179">
        <v>1</v>
      </c>
      <c r="R63" s="204" t="s">
        <v>300</v>
      </c>
      <c r="S63" s="198" t="s">
        <v>317</v>
      </c>
      <c r="T63" s="181">
        <f t="shared" si="1"/>
        <v>1</v>
      </c>
      <c r="U63" s="166"/>
      <c r="V63" s="166" t="s">
        <v>366</v>
      </c>
      <c r="W63" s="173"/>
      <c r="X63" s="166"/>
      <c r="Y63" s="166"/>
    </row>
    <row r="64" spans="1:28" s="6" customFormat="1" ht="14.25" x14ac:dyDescent="0.2">
      <c r="A64" s="200" t="s">
        <v>370</v>
      </c>
      <c r="B64" s="165" t="s">
        <v>371</v>
      </c>
      <c r="C64" s="312">
        <f>C60</f>
        <v>120</v>
      </c>
      <c r="D64" s="165" t="s">
        <v>22</v>
      </c>
      <c r="E64" s="319">
        <f>IF(Control!$D$10="*None*","-",1)</f>
        <v>1</v>
      </c>
      <c r="F64" s="323" t="s">
        <v>22</v>
      </c>
      <c r="G64" s="327" t="s">
        <v>22</v>
      </c>
      <c r="H64" s="570" t="str">
        <f>IF(E64="-","-",B64&amp;"_"&amp;C64)</f>
        <v>EDD_120</v>
      </c>
      <c r="I64" s="177">
        <v>0.6</v>
      </c>
      <c r="J64" s="178">
        <f>(K64/0.6)^0.5</f>
        <v>12.909944487358057</v>
      </c>
      <c r="K64" s="181">
        <v>100</v>
      </c>
      <c r="L64" s="177">
        <v>0</v>
      </c>
      <c r="M64" s="181">
        <v>0</v>
      </c>
      <c r="N64" s="181">
        <v>0</v>
      </c>
      <c r="O64" s="180">
        <f>Ref!L66</f>
        <v>42</v>
      </c>
      <c r="P64" s="204" t="s">
        <v>300</v>
      </c>
      <c r="Q64" s="179">
        <v>1</v>
      </c>
      <c r="R64" s="204" t="s">
        <v>300</v>
      </c>
      <c r="S64" s="198" t="s">
        <v>317</v>
      </c>
      <c r="T64" s="181">
        <f t="shared" si="1"/>
        <v>1</v>
      </c>
      <c r="U64" s="166"/>
      <c r="V64" s="166" t="s">
        <v>362</v>
      </c>
      <c r="W64" s="172"/>
      <c r="X64" s="166"/>
      <c r="Y64" s="166"/>
    </row>
    <row r="65" spans="1:25" s="6" customFormat="1" ht="14.25" hidden="1" x14ac:dyDescent="0.2">
      <c r="A65" s="200" t="s">
        <v>372</v>
      </c>
      <c r="B65" s="165" t="s">
        <v>371</v>
      </c>
      <c r="C65" s="312">
        <f t="shared" ref="C65:C67" si="6">C61</f>
        <v>90</v>
      </c>
      <c r="D65" s="165" t="s">
        <v>22</v>
      </c>
      <c r="E65" s="319" t="str">
        <f>IF(OR(Control!$D$11="*None*",C65=C64,C65=0),"-",1)</f>
        <v>-</v>
      </c>
      <c r="F65" s="323" t="s">
        <v>22</v>
      </c>
      <c r="G65" s="327" t="s">
        <v>22</v>
      </c>
      <c r="H65" s="570" t="str">
        <f t="shared" ref="H65:H67" si="7">IF(E65="-","-",B65&amp;"_"&amp;C65)</f>
        <v>-</v>
      </c>
      <c r="I65" s="177">
        <v>0.6</v>
      </c>
      <c r="J65" s="178">
        <f t="shared" ref="J65:J67" si="8">(K65/0.6)^0.5</f>
        <v>12.909944487358057</v>
      </c>
      <c r="K65" s="181">
        <v>100</v>
      </c>
      <c r="L65" s="177">
        <v>0</v>
      </c>
      <c r="M65" s="181">
        <v>0</v>
      </c>
      <c r="N65" s="181">
        <v>0</v>
      </c>
      <c r="O65" s="180">
        <f>Ref!M66</f>
        <v>39</v>
      </c>
      <c r="P65" s="204" t="s">
        <v>300</v>
      </c>
      <c r="Q65" s="179">
        <v>1</v>
      </c>
      <c r="R65" s="204" t="s">
        <v>300</v>
      </c>
      <c r="S65" s="198" t="s">
        <v>317</v>
      </c>
      <c r="T65" s="181">
        <f t="shared" si="1"/>
        <v>1</v>
      </c>
      <c r="U65" s="166"/>
      <c r="V65" s="166" t="s">
        <v>362</v>
      </c>
      <c r="W65" s="172"/>
      <c r="X65" s="166"/>
      <c r="Y65" s="166"/>
    </row>
    <row r="66" spans="1:25" s="6" customFormat="1" ht="14.25" hidden="1" x14ac:dyDescent="0.2">
      <c r="A66" s="200" t="s">
        <v>373</v>
      </c>
      <c r="B66" s="165" t="s">
        <v>371</v>
      </c>
      <c r="C66" s="312">
        <f t="shared" si="6"/>
        <v>120</v>
      </c>
      <c r="D66" s="165" t="s">
        <v>22</v>
      </c>
      <c r="E66" s="319" t="str">
        <f>IF(OR(Control!$D$12="*None*",C66=$C$61,C66=$C$60,C66=0),"-",1)</f>
        <v>-</v>
      </c>
      <c r="F66" s="323" t="s">
        <v>22</v>
      </c>
      <c r="G66" s="327" t="s">
        <v>22</v>
      </c>
      <c r="H66" s="570" t="str">
        <f t="shared" si="7"/>
        <v>-</v>
      </c>
      <c r="I66" s="177">
        <v>0.6</v>
      </c>
      <c r="J66" s="178">
        <f t="shared" si="8"/>
        <v>12.909944487358057</v>
      </c>
      <c r="K66" s="181">
        <v>100</v>
      </c>
      <c r="L66" s="177">
        <v>0</v>
      </c>
      <c r="M66" s="181">
        <v>0</v>
      </c>
      <c r="N66" s="181">
        <v>0</v>
      </c>
      <c r="O66" s="180">
        <f>Ref!N66</f>
        <v>42</v>
      </c>
      <c r="P66" s="204" t="s">
        <v>300</v>
      </c>
      <c r="Q66" s="179">
        <v>1</v>
      </c>
      <c r="R66" s="204" t="s">
        <v>300</v>
      </c>
      <c r="S66" s="198" t="s">
        <v>317</v>
      </c>
      <c r="T66" s="181">
        <f t="shared" si="1"/>
        <v>1</v>
      </c>
      <c r="U66" s="166"/>
      <c r="V66" s="166" t="s">
        <v>362</v>
      </c>
      <c r="W66" s="172"/>
      <c r="X66" s="166"/>
      <c r="Y66" s="166"/>
    </row>
    <row r="67" spans="1:25" s="6" customFormat="1" ht="14.25" hidden="1" x14ac:dyDescent="0.2">
      <c r="A67" s="200" t="s">
        <v>374</v>
      </c>
      <c r="B67" s="165" t="s">
        <v>371</v>
      </c>
      <c r="C67" s="312">
        <f t="shared" si="6"/>
        <v>0</v>
      </c>
      <c r="D67" s="165" t="s">
        <v>22</v>
      </c>
      <c r="E67" s="319" t="str">
        <f>IF(OR(Control!$D$13="*None*",C67=$C$61,C67=$C$60,C67=C66,C67=0),"-",1)</f>
        <v>-</v>
      </c>
      <c r="F67" s="323" t="s">
        <v>22</v>
      </c>
      <c r="G67" s="327" t="s">
        <v>22</v>
      </c>
      <c r="H67" s="570" t="str">
        <f t="shared" si="7"/>
        <v>-</v>
      </c>
      <c r="I67" s="177">
        <v>0.6</v>
      </c>
      <c r="J67" s="178">
        <f t="shared" si="8"/>
        <v>12.909944487358057</v>
      </c>
      <c r="K67" s="181">
        <v>100</v>
      </c>
      <c r="L67" s="177">
        <v>0</v>
      </c>
      <c r="M67" s="181">
        <v>0</v>
      </c>
      <c r="N67" s="181">
        <v>0</v>
      </c>
      <c r="O67" s="180">
        <f>Ref!O66</f>
        <v>0</v>
      </c>
      <c r="P67" s="204" t="s">
        <v>300</v>
      </c>
      <c r="Q67" s="179">
        <v>1</v>
      </c>
      <c r="R67" s="204" t="s">
        <v>300</v>
      </c>
      <c r="S67" s="198" t="s">
        <v>317</v>
      </c>
      <c r="T67" s="181">
        <f t="shared" si="1"/>
        <v>1</v>
      </c>
      <c r="U67" s="166"/>
      <c r="V67" s="166" t="s">
        <v>362</v>
      </c>
      <c r="W67" s="172"/>
      <c r="X67" s="166"/>
      <c r="Y67" s="166"/>
    </row>
    <row r="68" spans="1:25" s="6" customFormat="1" ht="14.25" hidden="1" x14ac:dyDescent="0.2">
      <c r="A68" s="200" t="s">
        <v>375</v>
      </c>
      <c r="B68" s="165" t="s">
        <v>376</v>
      </c>
      <c r="C68" s="312"/>
      <c r="D68" s="165">
        <v>3</v>
      </c>
      <c r="E68" s="319" t="str">
        <f>IF(OR(Control!$D$27="N", Control!$D$27="W"),"-",1)</f>
        <v>-</v>
      </c>
      <c r="F68" s="323" t="str">
        <f>LEFT(Control!$D$23,1)</f>
        <v>A</v>
      </c>
      <c r="G68" s="327" t="s">
        <v>22</v>
      </c>
      <c r="H68" s="176" t="str">
        <f>B68&amp;"_"&amp;F68&amp;C68</f>
        <v>HWD_A</v>
      </c>
      <c r="I68" s="177">
        <v>0.6</v>
      </c>
      <c r="J68" s="178">
        <f>INDEX(Ref!$D$7:$G$40,MATCH('Weather Cases'!D68,Ref!$C$7:$C$40,0),MATCH(LEFT(Control!$D$23,1)&amp;"MW",Ref!$D$6:$G$6,0))</f>
        <v>0.65800000000000003</v>
      </c>
      <c r="K68" s="178">
        <f>J68^2*0.6</f>
        <v>0.25977840000000002</v>
      </c>
      <c r="L68" s="177">
        <v>0</v>
      </c>
      <c r="M68" s="181">
        <v>0</v>
      </c>
      <c r="N68" s="181">
        <v>0</v>
      </c>
      <c r="O68" s="180">
        <f>Ref!L54</f>
        <v>5</v>
      </c>
      <c r="P68" s="204"/>
      <c r="Q68" s="179">
        <v>1</v>
      </c>
      <c r="R68" s="204"/>
      <c r="S68" s="197" t="s">
        <v>301</v>
      </c>
      <c r="T68" s="181">
        <f t="shared" si="1"/>
        <v>1</v>
      </c>
      <c r="U68" s="166"/>
      <c r="V68" s="166" t="s">
        <v>328</v>
      </c>
      <c r="W68" s="172"/>
      <c r="X68" s="166"/>
      <c r="Y68" s="166"/>
    </row>
    <row r="69" spans="1:25" s="6" customFormat="1" ht="14.25" x14ac:dyDescent="0.2">
      <c r="A69" s="200" t="s">
        <v>377</v>
      </c>
      <c r="B69" s="165" t="s">
        <v>376</v>
      </c>
      <c r="C69" s="312">
        <f>C64</f>
        <v>120</v>
      </c>
      <c r="D69" s="165">
        <v>3</v>
      </c>
      <c r="E69" s="319">
        <f>IF(Control!$D$10="*None*","-",1)</f>
        <v>1</v>
      </c>
      <c r="F69" s="323" t="str">
        <f>LEFT(Control!$D$23,1)</f>
        <v>A</v>
      </c>
      <c r="G69" s="327" t="s">
        <v>22</v>
      </c>
      <c r="H69" s="570" t="str">
        <f>IF(E69="-","-",B69&amp;"_"&amp;F69&amp;C69)</f>
        <v>HWD_A120</v>
      </c>
      <c r="I69" s="177">
        <v>0.6</v>
      </c>
      <c r="J69" s="178">
        <f>INDEX(Ref!$D$7:$G$40,MATCH('Weather Cases'!D69,Ref!$C$7:$C$40,0),MATCH(LEFT(Control!$D$23,1)&amp;"MW",Ref!$D$6:$G$6,0))</f>
        <v>0.65800000000000003</v>
      </c>
      <c r="K69" s="178">
        <f>J69^2*0.6</f>
        <v>0.25977840000000002</v>
      </c>
      <c r="L69" s="177">
        <v>0</v>
      </c>
      <c r="M69" s="181">
        <v>0</v>
      </c>
      <c r="N69" s="181">
        <v>0</v>
      </c>
      <c r="O69" s="181">
        <f>Ref!L67</f>
        <v>37</v>
      </c>
      <c r="P69" s="204" t="s">
        <v>300</v>
      </c>
      <c r="Q69" s="179">
        <v>1</v>
      </c>
      <c r="R69" s="204" t="s">
        <v>300</v>
      </c>
      <c r="S69" s="197" t="s">
        <v>301</v>
      </c>
      <c r="T69" s="181">
        <f t="shared" si="1"/>
        <v>1</v>
      </c>
      <c r="U69" s="203"/>
      <c r="V69" s="166" t="s">
        <v>378</v>
      </c>
      <c r="W69" s="172"/>
      <c r="X69" s="166"/>
      <c r="Y69" s="166"/>
    </row>
    <row r="70" spans="1:25" s="6" customFormat="1" ht="14.25" hidden="1" x14ac:dyDescent="0.2">
      <c r="A70" s="200" t="s">
        <v>379</v>
      </c>
      <c r="B70" s="165" t="s">
        <v>376</v>
      </c>
      <c r="C70" s="312">
        <f>C65</f>
        <v>90</v>
      </c>
      <c r="D70" s="165">
        <v>3</v>
      </c>
      <c r="E70" s="319" t="str">
        <f>IF(OR(Control!$D$11="*None*",C70=C69,C70=0),"-",1)</f>
        <v>-</v>
      </c>
      <c r="F70" s="323" t="str">
        <f>LEFT(Control!$D$23,1)</f>
        <v>A</v>
      </c>
      <c r="G70" s="327" t="s">
        <v>22</v>
      </c>
      <c r="H70" s="570" t="str">
        <f t="shared" ref="H70:H72" si="9">IF(E70="-","-",B70&amp;"_"&amp;F70&amp;C70)</f>
        <v>-</v>
      </c>
      <c r="I70" s="177">
        <v>0.6</v>
      </c>
      <c r="J70" s="178">
        <f>INDEX(Ref!$D$7:$G$40,MATCH('Weather Cases'!D70,Ref!$C$7:$C$40,0),MATCH(LEFT(Control!$D$23,1)&amp;"MW",Ref!$D$6:$G$6,0))</f>
        <v>0.65800000000000003</v>
      </c>
      <c r="K70" s="178">
        <f t="shared" ref="K70:K72" si="10">J70^2*0.6</f>
        <v>0.25977840000000002</v>
      </c>
      <c r="L70" s="177">
        <v>0</v>
      </c>
      <c r="M70" s="181">
        <v>0</v>
      </c>
      <c r="N70" s="181">
        <v>0</v>
      </c>
      <c r="O70" s="181">
        <f>Ref!M67</f>
        <v>35</v>
      </c>
      <c r="P70" s="204" t="s">
        <v>300</v>
      </c>
      <c r="Q70" s="179">
        <v>1</v>
      </c>
      <c r="R70" s="204" t="s">
        <v>300</v>
      </c>
      <c r="S70" s="197" t="s">
        <v>301</v>
      </c>
      <c r="T70" s="181">
        <f t="shared" si="1"/>
        <v>1</v>
      </c>
      <c r="U70" s="203"/>
      <c r="V70" s="166" t="s">
        <v>378</v>
      </c>
      <c r="W70" s="172"/>
      <c r="X70" s="166"/>
      <c r="Y70" s="166"/>
    </row>
    <row r="71" spans="1:25" s="6" customFormat="1" ht="14.25" hidden="1" x14ac:dyDescent="0.2">
      <c r="A71" s="200" t="s">
        <v>380</v>
      </c>
      <c r="B71" s="165" t="s">
        <v>376</v>
      </c>
      <c r="C71" s="312">
        <f>C66</f>
        <v>120</v>
      </c>
      <c r="D71" s="165">
        <v>3</v>
      </c>
      <c r="E71" s="319" t="str">
        <f>IF(OR(Control!$D$12="*None*",C71=C70,C71=C69,C71=0),"-",1)</f>
        <v>-</v>
      </c>
      <c r="F71" s="323" t="str">
        <f>LEFT(Control!$D$23,1)</f>
        <v>A</v>
      </c>
      <c r="G71" s="327" t="s">
        <v>22</v>
      </c>
      <c r="H71" s="570" t="str">
        <f t="shared" si="9"/>
        <v>-</v>
      </c>
      <c r="I71" s="177">
        <v>0.6</v>
      </c>
      <c r="J71" s="178">
        <f>INDEX(Ref!$D$7:$G$40,MATCH('Weather Cases'!D71,Ref!$C$7:$C$40,0),MATCH(LEFT(Control!$D$23,1)&amp;"MW",Ref!$D$6:$G$6,0))</f>
        <v>0.65800000000000003</v>
      </c>
      <c r="K71" s="178">
        <f t="shared" si="10"/>
        <v>0.25977840000000002</v>
      </c>
      <c r="L71" s="177">
        <v>0</v>
      </c>
      <c r="M71" s="181">
        <v>0</v>
      </c>
      <c r="N71" s="181">
        <v>0</v>
      </c>
      <c r="O71" s="181">
        <f>Ref!N67</f>
        <v>37</v>
      </c>
      <c r="P71" s="204" t="s">
        <v>300</v>
      </c>
      <c r="Q71" s="179">
        <v>1</v>
      </c>
      <c r="R71" s="204" t="s">
        <v>300</v>
      </c>
      <c r="S71" s="197" t="s">
        <v>301</v>
      </c>
      <c r="T71" s="181">
        <f t="shared" si="1"/>
        <v>1</v>
      </c>
      <c r="U71" s="203"/>
      <c r="V71" s="166" t="s">
        <v>378</v>
      </c>
      <c r="W71" s="172"/>
      <c r="X71" s="166"/>
      <c r="Y71" s="166"/>
    </row>
    <row r="72" spans="1:25" s="6" customFormat="1" ht="14.25" hidden="1" x14ac:dyDescent="0.2">
      <c r="A72" s="200" t="s">
        <v>381</v>
      </c>
      <c r="B72" s="165" t="s">
        <v>376</v>
      </c>
      <c r="C72" s="312">
        <f>C67</f>
        <v>0</v>
      </c>
      <c r="D72" s="165">
        <v>3</v>
      </c>
      <c r="E72" s="319" t="str">
        <f>IF(OR(Control!$D$13="*None*",C72=C70,C72=C69,C72=C71,C72=0),"-",1)</f>
        <v>-</v>
      </c>
      <c r="F72" s="323" t="str">
        <f>LEFT(Control!$D$23,1)</f>
        <v>A</v>
      </c>
      <c r="G72" s="327" t="s">
        <v>22</v>
      </c>
      <c r="H72" s="570" t="str">
        <f t="shared" si="9"/>
        <v>-</v>
      </c>
      <c r="I72" s="177">
        <v>0.6</v>
      </c>
      <c r="J72" s="178">
        <f>INDEX(Ref!$D$7:$G$40,MATCH('Weather Cases'!D72,Ref!$C$7:$C$40,0),MATCH(LEFT(Control!$D$23,1)&amp;"MW",Ref!$D$6:$G$6,0))</f>
        <v>0.65800000000000003</v>
      </c>
      <c r="K72" s="178">
        <f t="shared" si="10"/>
        <v>0.25977840000000002</v>
      </c>
      <c r="L72" s="177">
        <v>0</v>
      </c>
      <c r="M72" s="181">
        <v>0</v>
      </c>
      <c r="N72" s="181">
        <v>0</v>
      </c>
      <c r="O72" s="181">
        <f>Ref!O67</f>
        <v>0</v>
      </c>
      <c r="P72" s="204" t="s">
        <v>300</v>
      </c>
      <c r="Q72" s="179">
        <v>1</v>
      </c>
      <c r="R72" s="204" t="s">
        <v>300</v>
      </c>
      <c r="S72" s="197" t="s">
        <v>301</v>
      </c>
      <c r="T72" s="181">
        <f t="shared" si="1"/>
        <v>1</v>
      </c>
      <c r="U72" s="203"/>
      <c r="V72" s="166" t="s">
        <v>378</v>
      </c>
      <c r="W72" s="172"/>
      <c r="X72" s="166"/>
      <c r="Y72" s="166"/>
    </row>
    <row r="73" spans="1:25" s="6" customFormat="1" ht="14.25" hidden="1" x14ac:dyDescent="0.2">
      <c r="A73" s="200" t="s">
        <v>382</v>
      </c>
      <c r="B73" s="165" t="s">
        <v>383</v>
      </c>
      <c r="C73" s="312"/>
      <c r="D73" s="165">
        <v>50</v>
      </c>
      <c r="E73" s="319" t="str">
        <f>IF(OR(Control!$D$27="N", Control!$D$27="W"),"-",1)</f>
        <v>-</v>
      </c>
      <c r="F73" s="323" t="str">
        <f>LEFT(Control!$D$23,1)</f>
        <v>A</v>
      </c>
      <c r="G73" s="327" t="s">
        <v>118</v>
      </c>
      <c r="H73" s="176" t="str">
        <f>IF(G73="-",B73,B73&amp;"_"&amp;LEFT(Control!$D$23,1)&amp;LEFT(Control!$D$22,LEN(Control!$D$22)-2))</f>
        <v>MWD_A8</v>
      </c>
      <c r="I73" s="177">
        <v>0.6</v>
      </c>
      <c r="J73" s="178">
        <f>INDEX(Ref!$D$7:$G$40,MATCH('Weather Cases'!D73,Ref!$C$7:$C$40,0),MATCH(LEFT(Control!$D$23,1)&amp;"MW",Ref!$D$6:$G$6,0))</f>
        <v>0.85399999999999998</v>
      </c>
      <c r="K73" s="178">
        <f>J73^2*0.6</f>
        <v>0.43758959999999997</v>
      </c>
      <c r="L73" s="177">
        <v>0</v>
      </c>
      <c r="M73" s="181">
        <v>0</v>
      </c>
      <c r="N73" s="181">
        <v>0</v>
      </c>
      <c r="O73" s="181">
        <f>Ref!L55</f>
        <v>5</v>
      </c>
      <c r="P73" s="204" t="s">
        <v>300</v>
      </c>
      <c r="Q73" s="179">
        <v>1</v>
      </c>
      <c r="R73" s="204" t="s">
        <v>300</v>
      </c>
      <c r="S73" s="197" t="s">
        <v>301</v>
      </c>
      <c r="T73" s="181">
        <f t="shared" si="1"/>
        <v>1</v>
      </c>
      <c r="U73" s="203"/>
      <c r="V73" s="166" t="s">
        <v>302</v>
      </c>
      <c r="W73" s="172"/>
      <c r="X73" s="166"/>
      <c r="Y73" s="166"/>
    </row>
    <row r="74" spans="1:25" s="6" customFormat="1" ht="14.25" x14ac:dyDescent="0.2">
      <c r="A74" s="200" t="s">
        <v>384</v>
      </c>
      <c r="B74" s="165" t="s">
        <v>383</v>
      </c>
      <c r="C74" s="312">
        <f>C69</f>
        <v>120</v>
      </c>
      <c r="D74" s="165">
        <v>50</v>
      </c>
      <c r="E74" s="319">
        <f>IF(Control!$D$10="*None*","-",1)</f>
        <v>1</v>
      </c>
      <c r="F74" s="323" t="str">
        <f>LEFT(Control!$D$23,1)</f>
        <v>A</v>
      </c>
      <c r="G74" s="327" t="s">
        <v>22</v>
      </c>
      <c r="H74" s="570" t="str">
        <f>IF(E74="-","-",B74&amp;"_"&amp;F74&amp;C74)</f>
        <v>MWD_A120</v>
      </c>
      <c r="I74" s="177">
        <v>0.6</v>
      </c>
      <c r="J74" s="178">
        <f>INDEX(Ref!$D$7:$G$40,MATCH('Weather Cases'!D74,Ref!$C$7:$C$40,0),MATCH(LEFT(Control!$D$23,1)&amp;"MW",Ref!$D$6:$G$6,0))</f>
        <v>0.85399999999999998</v>
      </c>
      <c r="K74" s="178">
        <f>J74^2*0.6</f>
        <v>0.43758959999999997</v>
      </c>
      <c r="L74" s="177">
        <v>0</v>
      </c>
      <c r="M74" s="181">
        <v>0</v>
      </c>
      <c r="N74" s="181">
        <v>0</v>
      </c>
      <c r="O74" s="181">
        <f>Ref!L68</f>
        <v>35</v>
      </c>
      <c r="P74" s="204" t="s">
        <v>300</v>
      </c>
      <c r="Q74" s="179">
        <v>1</v>
      </c>
      <c r="R74" s="204" t="s">
        <v>300</v>
      </c>
      <c r="S74" s="197" t="s">
        <v>301</v>
      </c>
      <c r="T74" s="181">
        <f t="shared" si="1"/>
        <v>1</v>
      </c>
      <c r="U74" s="203"/>
      <c r="V74" s="166" t="s">
        <v>385</v>
      </c>
      <c r="W74" s="172"/>
      <c r="X74" s="166"/>
      <c r="Y74" s="166"/>
    </row>
    <row r="75" spans="1:25" s="6" customFormat="1" ht="14.25" hidden="1" x14ac:dyDescent="0.2">
      <c r="A75" s="200" t="s">
        <v>386</v>
      </c>
      <c r="B75" s="165" t="s">
        <v>383</v>
      </c>
      <c r="C75" s="312">
        <f>C70</f>
        <v>90</v>
      </c>
      <c r="D75" s="165">
        <v>50</v>
      </c>
      <c r="E75" s="319" t="str">
        <f>IF(OR(Control!$D$11="*None*",C75=C74,C75=0),"-",1)</f>
        <v>-</v>
      </c>
      <c r="F75" s="323" t="str">
        <f>LEFT(Control!$D$23,1)</f>
        <v>A</v>
      </c>
      <c r="G75" s="327" t="s">
        <v>22</v>
      </c>
      <c r="H75" s="570" t="str">
        <f t="shared" ref="H75:H77" si="11">IF(E75="-","-",B75&amp;"_"&amp;F75&amp;C75)</f>
        <v>-</v>
      </c>
      <c r="I75" s="177">
        <v>0.6</v>
      </c>
      <c r="J75" s="178">
        <f>INDEX(Ref!$D$7:$G$40,MATCH('Weather Cases'!D75,Ref!$C$7:$C$40,0),MATCH(LEFT(Control!$D$23,1)&amp;"MW",Ref!$D$6:$G$6,0))</f>
        <v>0.85399999999999998</v>
      </c>
      <c r="K75" s="178">
        <f t="shared" ref="K75:K77" si="12">J75^2*0.6</f>
        <v>0.43758959999999997</v>
      </c>
      <c r="L75" s="177">
        <v>0</v>
      </c>
      <c r="M75" s="181">
        <v>0</v>
      </c>
      <c r="N75" s="181">
        <v>0</v>
      </c>
      <c r="O75" s="181">
        <f>Ref!M68</f>
        <v>34</v>
      </c>
      <c r="P75" s="204" t="s">
        <v>300</v>
      </c>
      <c r="Q75" s="179">
        <v>1</v>
      </c>
      <c r="R75" s="204" t="s">
        <v>300</v>
      </c>
      <c r="S75" s="197" t="s">
        <v>301</v>
      </c>
      <c r="T75" s="181">
        <f t="shared" si="1"/>
        <v>1</v>
      </c>
      <c r="U75" s="203"/>
      <c r="V75" s="166" t="s">
        <v>385</v>
      </c>
      <c r="W75" s="172"/>
      <c r="X75" s="166"/>
      <c r="Y75" s="166"/>
    </row>
    <row r="76" spans="1:25" s="6" customFormat="1" ht="14.25" hidden="1" x14ac:dyDescent="0.2">
      <c r="A76" s="200" t="s">
        <v>387</v>
      </c>
      <c r="B76" s="165" t="s">
        <v>383</v>
      </c>
      <c r="C76" s="312">
        <f>C71</f>
        <v>120</v>
      </c>
      <c r="D76" s="165">
        <v>50</v>
      </c>
      <c r="E76" s="319" t="str">
        <f>IF(OR(Control!$D$12="*None*",C76=C75,C76=C74,C76=0),"-",1)</f>
        <v>-</v>
      </c>
      <c r="F76" s="323" t="str">
        <f>LEFT(Control!$D$23,1)</f>
        <v>A</v>
      </c>
      <c r="G76" s="327" t="s">
        <v>22</v>
      </c>
      <c r="H76" s="570" t="str">
        <f t="shared" si="11"/>
        <v>-</v>
      </c>
      <c r="I76" s="177">
        <v>0.6</v>
      </c>
      <c r="J76" s="178">
        <f>INDEX(Ref!$D$7:$G$40,MATCH('Weather Cases'!D76,Ref!$C$7:$C$40,0),MATCH(LEFT(Control!$D$23,1)&amp;"MW",Ref!$D$6:$G$6,0))</f>
        <v>0.85399999999999998</v>
      </c>
      <c r="K76" s="178">
        <f t="shared" si="12"/>
        <v>0.43758959999999997</v>
      </c>
      <c r="L76" s="177">
        <v>0</v>
      </c>
      <c r="M76" s="181">
        <v>0</v>
      </c>
      <c r="N76" s="181">
        <v>0</v>
      </c>
      <c r="O76" s="181">
        <f>Ref!N68</f>
        <v>35</v>
      </c>
      <c r="P76" s="204" t="s">
        <v>300</v>
      </c>
      <c r="Q76" s="179">
        <v>1</v>
      </c>
      <c r="R76" s="204" t="s">
        <v>300</v>
      </c>
      <c r="S76" s="197" t="s">
        <v>301</v>
      </c>
      <c r="T76" s="181">
        <f t="shared" ref="T76:T93" si="13">IF(L76&gt;0,1.2,1)</f>
        <v>1</v>
      </c>
      <c r="U76" s="203"/>
      <c r="V76" s="166" t="s">
        <v>385</v>
      </c>
      <c r="W76" s="172"/>
      <c r="X76" s="166"/>
      <c r="Y76" s="166"/>
    </row>
    <row r="77" spans="1:25" s="6" customFormat="1" ht="14.25" hidden="1" x14ac:dyDescent="0.2">
      <c r="A77" s="200" t="s">
        <v>388</v>
      </c>
      <c r="B77" s="165" t="s">
        <v>383</v>
      </c>
      <c r="C77" s="312">
        <f>C72</f>
        <v>0</v>
      </c>
      <c r="D77" s="165">
        <v>50</v>
      </c>
      <c r="E77" s="319" t="str">
        <f>IF(OR(Control!$D$13="*None*",C77=C75,C77=C74,C77=C76,C77=0),"-",1)</f>
        <v>-</v>
      </c>
      <c r="F77" s="323" t="str">
        <f>LEFT(Control!$D$23,1)</f>
        <v>A</v>
      </c>
      <c r="G77" s="327" t="s">
        <v>22</v>
      </c>
      <c r="H77" s="570" t="str">
        <f t="shared" si="11"/>
        <v>-</v>
      </c>
      <c r="I77" s="177">
        <v>0.6</v>
      </c>
      <c r="J77" s="178">
        <f>INDEX(Ref!$D$7:$G$40,MATCH('Weather Cases'!D77,Ref!$C$7:$C$40,0),MATCH(LEFT(Control!$D$23,1)&amp;"MW",Ref!$D$6:$G$6,0))</f>
        <v>0.85399999999999998</v>
      </c>
      <c r="K77" s="178">
        <f t="shared" si="12"/>
        <v>0.43758959999999997</v>
      </c>
      <c r="L77" s="177">
        <v>0</v>
      </c>
      <c r="M77" s="181">
        <v>0</v>
      </c>
      <c r="N77" s="181">
        <v>0</v>
      </c>
      <c r="O77" s="181">
        <f>Ref!O68</f>
        <v>0</v>
      </c>
      <c r="P77" s="204" t="s">
        <v>300</v>
      </c>
      <c r="Q77" s="179">
        <v>1</v>
      </c>
      <c r="R77" s="204" t="s">
        <v>300</v>
      </c>
      <c r="S77" s="197" t="s">
        <v>301</v>
      </c>
      <c r="T77" s="181">
        <f t="shared" si="13"/>
        <v>1</v>
      </c>
      <c r="U77" s="203"/>
      <c r="V77" s="166" t="s">
        <v>385</v>
      </c>
      <c r="W77" s="172"/>
      <c r="X77" s="166"/>
      <c r="Y77" s="166"/>
    </row>
    <row r="78" spans="1:25" s="6" customFormat="1" ht="14.25" x14ac:dyDescent="0.2">
      <c r="A78" s="200" t="s">
        <v>389</v>
      </c>
      <c r="B78" s="165" t="s">
        <v>390</v>
      </c>
      <c r="C78" s="165" t="s">
        <v>22</v>
      </c>
      <c r="D78" s="165" t="s">
        <v>22</v>
      </c>
      <c r="E78" s="319">
        <f>IF(OR(Control!$D$5="Y",SUM(L78)=0),"-",1)</f>
        <v>1</v>
      </c>
      <c r="F78" s="323" t="s">
        <v>22</v>
      </c>
      <c r="G78" s="327" t="s">
        <v>118</v>
      </c>
      <c r="H78" s="176" t="str">
        <f>IF(G78="",B78,B78&amp;"_"&amp;LEFT(Control!$D$22,LEN(Control!$D$22)-2))</f>
        <v>SDS_8</v>
      </c>
      <c r="I78" s="177">
        <v>0.6</v>
      </c>
      <c r="J78" s="181">
        <v>0</v>
      </c>
      <c r="K78" s="181">
        <v>0</v>
      </c>
      <c r="L78" s="177">
        <f>Ref!$N$94</f>
        <v>3</v>
      </c>
      <c r="M78" s="181">
        <f>Ref!$O$94</f>
        <v>3900</v>
      </c>
      <c r="N78" s="181">
        <v>0</v>
      </c>
      <c r="O78" s="181">
        <f>Ref!$L$58</f>
        <v>-5</v>
      </c>
      <c r="P78" s="204" t="s">
        <v>300</v>
      </c>
      <c r="Q78" s="179">
        <v>1</v>
      </c>
      <c r="R78" s="204" t="s">
        <v>300</v>
      </c>
      <c r="S78" s="197" t="s">
        <v>317</v>
      </c>
      <c r="T78" s="181">
        <f t="shared" si="13"/>
        <v>1.2</v>
      </c>
      <c r="U78" s="166"/>
      <c r="V78" s="166" t="s">
        <v>318</v>
      </c>
      <c r="W78" s="172"/>
      <c r="X78" s="166"/>
      <c r="Y78" s="166"/>
    </row>
    <row r="79" spans="1:25" s="6" customFormat="1" ht="14.25" x14ac:dyDescent="0.2">
      <c r="A79" s="200" t="s">
        <v>391</v>
      </c>
      <c r="B79" s="165" t="s">
        <v>392</v>
      </c>
      <c r="C79" s="165" t="s">
        <v>22</v>
      </c>
      <c r="D79" s="165" t="s">
        <v>22</v>
      </c>
      <c r="E79" s="319">
        <f>E78</f>
        <v>1</v>
      </c>
      <c r="F79" s="323" t="s">
        <v>22</v>
      </c>
      <c r="G79" s="327" t="s">
        <v>118</v>
      </c>
      <c r="H79" s="176" t="str">
        <f>IF(G79="",B79,B79&amp;"_"&amp;LEFT(Control!$D$22,LEN(Control!$D$22)-2))</f>
        <v>SDD_8</v>
      </c>
      <c r="I79" s="177">
        <v>0.6</v>
      </c>
      <c r="J79" s="178">
        <f>(K79/0.6)^0.5</f>
        <v>4.0824829046386304</v>
      </c>
      <c r="K79" s="181">
        <f>K40*0.5</f>
        <v>10</v>
      </c>
      <c r="L79" s="177">
        <f>Ref!$N$94</f>
        <v>3</v>
      </c>
      <c r="M79" s="181">
        <f>Ref!$O$94</f>
        <v>3900</v>
      </c>
      <c r="N79" s="181">
        <v>0</v>
      </c>
      <c r="O79" s="181">
        <f>Ref!$L$58</f>
        <v>-5</v>
      </c>
      <c r="P79" s="204" t="s">
        <v>300</v>
      </c>
      <c r="Q79" s="179">
        <v>1</v>
      </c>
      <c r="R79" s="204" t="s">
        <v>300</v>
      </c>
      <c r="S79" s="197" t="s">
        <v>317</v>
      </c>
      <c r="T79" s="181">
        <f t="shared" si="13"/>
        <v>1.2</v>
      </c>
      <c r="U79" s="166"/>
      <c r="V79" s="166" t="s">
        <v>318</v>
      </c>
      <c r="W79" s="172"/>
      <c r="X79" s="166"/>
      <c r="Y79" s="166"/>
    </row>
    <row r="80" spans="1:25" s="6" customFormat="1" ht="14.25" x14ac:dyDescent="0.2">
      <c r="A80" s="200" t="s">
        <v>393</v>
      </c>
      <c r="B80" s="165" t="s">
        <v>394</v>
      </c>
      <c r="C80" s="165" t="s">
        <v>22</v>
      </c>
      <c r="D80" s="165" t="s">
        <v>22</v>
      </c>
      <c r="E80" s="319">
        <f>E79</f>
        <v>1</v>
      </c>
      <c r="F80" s="323" t="s">
        <v>22</v>
      </c>
      <c r="G80" s="327" t="s">
        <v>22</v>
      </c>
      <c r="H80" s="176" t="str">
        <f>B80</f>
        <v>SDO</v>
      </c>
      <c r="I80" s="177">
        <v>0.6</v>
      </c>
      <c r="J80" s="181">
        <v>0</v>
      </c>
      <c r="K80" s="181">
        <v>0</v>
      </c>
      <c r="L80" s="177">
        <v>0</v>
      </c>
      <c r="M80" s="181">
        <v>0</v>
      </c>
      <c r="N80" s="181">
        <v>0</v>
      </c>
      <c r="O80" s="181">
        <f>Ref!$L$58</f>
        <v>-5</v>
      </c>
      <c r="P80" s="204" t="s">
        <v>300</v>
      </c>
      <c r="Q80" s="179">
        <v>1</v>
      </c>
      <c r="R80" s="204" t="s">
        <v>300</v>
      </c>
      <c r="S80" s="197" t="s">
        <v>317</v>
      </c>
      <c r="T80" s="181">
        <f t="shared" si="13"/>
        <v>1</v>
      </c>
      <c r="U80" s="166"/>
      <c r="V80" s="166" t="s">
        <v>318</v>
      </c>
      <c r="W80" s="172"/>
      <c r="X80" s="166"/>
      <c r="Y80" s="166"/>
    </row>
    <row r="81" spans="1:25" s="6" customFormat="1" ht="14.25" x14ac:dyDescent="0.2">
      <c r="A81" s="200" t="s">
        <v>395</v>
      </c>
      <c r="B81" s="165" t="s">
        <v>396</v>
      </c>
      <c r="C81" s="165" t="s">
        <v>22</v>
      </c>
      <c r="D81" s="165" t="s">
        <v>22</v>
      </c>
      <c r="E81" s="319">
        <f>IF(OR(Control!$D$5="Y",SUM(L81)=0),"-",1)</f>
        <v>1</v>
      </c>
      <c r="F81" s="323" t="s">
        <v>22</v>
      </c>
      <c r="G81" s="327" t="s">
        <v>118</v>
      </c>
      <c r="H81" s="176" t="str">
        <f>IF(G81="",B81,B81&amp;"_"&amp;LEFT(Control!$D$22,LEN(Control!$D$22)-2))</f>
        <v>TIS_8</v>
      </c>
      <c r="I81" s="177">
        <v>0.6</v>
      </c>
      <c r="J81" s="181">
        <v>0</v>
      </c>
      <c r="K81" s="181">
        <v>0</v>
      </c>
      <c r="L81" s="177">
        <f>Ref!$Q$94</f>
        <v>0.8</v>
      </c>
      <c r="M81" s="181">
        <f>Ref!R94</f>
        <v>6850</v>
      </c>
      <c r="N81" s="181">
        <v>0</v>
      </c>
      <c r="O81" s="181">
        <f>Ref!$L$57</f>
        <v>-14</v>
      </c>
      <c r="P81" s="204" t="s">
        <v>300</v>
      </c>
      <c r="Q81" s="179">
        <v>1</v>
      </c>
      <c r="R81" s="204" t="s">
        <v>300</v>
      </c>
      <c r="S81" s="197" t="s">
        <v>317</v>
      </c>
      <c r="T81" s="181">
        <f t="shared" si="13"/>
        <v>1.2</v>
      </c>
      <c r="U81" s="166"/>
      <c r="V81" s="166" t="s">
        <v>321</v>
      </c>
      <c r="W81" s="172"/>
      <c r="X81" s="166"/>
      <c r="Y81" s="166"/>
    </row>
    <row r="82" spans="1:25" s="6" customFormat="1" ht="14.25" x14ac:dyDescent="0.2">
      <c r="A82" s="200" t="s">
        <v>397</v>
      </c>
      <c r="B82" s="165" t="s">
        <v>398</v>
      </c>
      <c r="C82" s="165" t="s">
        <v>22</v>
      </c>
      <c r="D82" s="165" t="s">
        <v>22</v>
      </c>
      <c r="E82" s="319">
        <f>E81</f>
        <v>1</v>
      </c>
      <c r="F82" s="323" t="str">
        <f>LEFT(Control!$D$23,1)</f>
        <v>A</v>
      </c>
      <c r="G82" s="327" t="s">
        <v>118</v>
      </c>
      <c r="H82" s="176" t="str">
        <f>IF(G82="",B82,B82&amp;"_"&amp;LEFT(Control!$D$23,1)&amp;LEFT(Control!$D$22,LEN(Control!$D$22)-2))</f>
        <v>TID_A8</v>
      </c>
      <c r="I82" s="177">
        <v>0.6</v>
      </c>
      <c r="J82" s="178">
        <f>(K82/0.6)^0.5</f>
        <v>0.3995153313703993</v>
      </c>
      <c r="K82" s="178">
        <f>K41*0.5</f>
        <v>9.5767499999999978E-2</v>
      </c>
      <c r="L82" s="177">
        <f>L41</f>
        <v>0.8</v>
      </c>
      <c r="M82" s="181">
        <f>M41</f>
        <v>6850</v>
      </c>
      <c r="N82" s="181">
        <v>0</v>
      </c>
      <c r="O82" s="181">
        <f>Ref!$L$57</f>
        <v>-14</v>
      </c>
      <c r="P82" s="204" t="s">
        <v>300</v>
      </c>
      <c r="Q82" s="179">
        <v>1</v>
      </c>
      <c r="R82" s="204" t="s">
        <v>300</v>
      </c>
      <c r="S82" s="197" t="s">
        <v>301</v>
      </c>
      <c r="T82" s="181">
        <f t="shared" si="13"/>
        <v>1.2</v>
      </c>
      <c r="U82" s="203"/>
      <c r="V82" s="166" t="s">
        <v>321</v>
      </c>
      <c r="W82" s="172"/>
      <c r="X82" s="166"/>
      <c r="Y82" s="166"/>
    </row>
    <row r="83" spans="1:25" s="6" customFormat="1" ht="14.25" x14ac:dyDescent="0.2">
      <c r="A83" s="200" t="s">
        <v>399</v>
      </c>
      <c r="B83" s="165" t="s">
        <v>400</v>
      </c>
      <c r="C83" s="165" t="s">
        <v>22</v>
      </c>
      <c r="D83" s="165" t="s">
        <v>22</v>
      </c>
      <c r="E83" s="319">
        <f>IF(AND(E82=0,E84=0),"-",1)</f>
        <v>1</v>
      </c>
      <c r="F83" s="323" t="s">
        <v>22</v>
      </c>
      <c r="G83" s="327" t="s">
        <v>22</v>
      </c>
      <c r="H83" s="176" t="str">
        <f>B83</f>
        <v>TIO</v>
      </c>
      <c r="I83" s="177">
        <v>0.6</v>
      </c>
      <c r="J83" s="181">
        <v>0</v>
      </c>
      <c r="K83" s="181">
        <v>0</v>
      </c>
      <c r="L83" s="177">
        <v>0</v>
      </c>
      <c r="M83" s="181">
        <v>0</v>
      </c>
      <c r="N83" s="181">
        <v>0</v>
      </c>
      <c r="O83" s="181">
        <f>Ref!$L$57</f>
        <v>-14</v>
      </c>
      <c r="P83" s="204" t="s">
        <v>300</v>
      </c>
      <c r="Q83" s="179">
        <v>1</v>
      </c>
      <c r="R83" s="204" t="s">
        <v>300</v>
      </c>
      <c r="S83" s="197" t="s">
        <v>317</v>
      </c>
      <c r="T83" s="181">
        <f t="shared" si="13"/>
        <v>1</v>
      </c>
      <c r="U83" s="166"/>
      <c r="V83" s="166" t="s">
        <v>321</v>
      </c>
      <c r="W83" s="172"/>
      <c r="X83" s="166"/>
      <c r="Y83" s="166"/>
    </row>
    <row r="84" spans="1:25" s="6" customFormat="1" ht="14.25" x14ac:dyDescent="0.2">
      <c r="A84" s="200" t="s">
        <v>401</v>
      </c>
      <c r="B84" s="165" t="s">
        <v>402</v>
      </c>
      <c r="C84" s="165" t="s">
        <v>22</v>
      </c>
      <c r="D84" s="165" t="s">
        <v>22</v>
      </c>
      <c r="E84" s="319">
        <f>IF(OR(Control!$D$5="Y",SUM(L84)=0),"-",1)</f>
        <v>1</v>
      </c>
      <c r="F84" s="323" t="s">
        <v>22</v>
      </c>
      <c r="G84" s="327" t="s">
        <v>118</v>
      </c>
      <c r="H84" s="176" t="str">
        <f>IF(G84="",B84,B84&amp;"_"&amp;LEFT(Control!$D$22,LEN(Control!$D$22)-2))</f>
        <v>EIS_8</v>
      </c>
      <c r="I84" s="177">
        <v>0.6</v>
      </c>
      <c r="J84" s="181">
        <v>0</v>
      </c>
      <c r="K84" s="181">
        <v>0</v>
      </c>
      <c r="L84" s="473">
        <f>Ref!T$94</f>
        <v>5.5</v>
      </c>
      <c r="M84" s="179">
        <f>Ref!U$94</f>
        <v>3550</v>
      </c>
      <c r="N84" s="179">
        <v>0</v>
      </c>
      <c r="O84" s="181">
        <f>Ref!$L$57</f>
        <v>-14</v>
      </c>
      <c r="P84" s="204" t="s">
        <v>300</v>
      </c>
      <c r="Q84" s="179">
        <v>1</v>
      </c>
      <c r="R84" s="204" t="s">
        <v>300</v>
      </c>
      <c r="S84" s="198" t="s">
        <v>317</v>
      </c>
      <c r="T84" s="181">
        <f t="shared" si="13"/>
        <v>1.2</v>
      </c>
      <c r="U84" s="166"/>
      <c r="V84" s="166" t="s">
        <v>321</v>
      </c>
      <c r="W84" s="172"/>
      <c r="X84" s="166"/>
      <c r="Y84" s="166"/>
    </row>
    <row r="85" spans="1:25" s="6" customFormat="1" ht="14.25" x14ac:dyDescent="0.2">
      <c r="A85" s="200" t="s">
        <v>403</v>
      </c>
      <c r="B85" s="165" t="s">
        <v>404</v>
      </c>
      <c r="C85" s="165" t="s">
        <v>22</v>
      </c>
      <c r="D85" s="165" t="s">
        <v>22</v>
      </c>
      <c r="E85" s="319">
        <f>E84</f>
        <v>1</v>
      </c>
      <c r="F85" s="323" t="s">
        <v>22</v>
      </c>
      <c r="G85" s="327" t="s">
        <v>118</v>
      </c>
      <c r="H85" s="176" t="str">
        <f>IF(G85="",B85,B85&amp;"_"&amp;LEFT(Control!$D$22,LEN(Control!$D$22)-2))</f>
        <v>EID_8</v>
      </c>
      <c r="I85" s="177">
        <v>0.6</v>
      </c>
      <c r="J85" s="178">
        <f>(K85/0.6)^0.5</f>
        <v>4.0824829046386304</v>
      </c>
      <c r="K85" s="181">
        <f>K42*0.5</f>
        <v>10</v>
      </c>
      <c r="L85" s="473">
        <f>Ref!T$94</f>
        <v>5.5</v>
      </c>
      <c r="M85" s="179">
        <f>Ref!U$94</f>
        <v>3550</v>
      </c>
      <c r="N85" s="179">
        <v>0</v>
      </c>
      <c r="O85" s="181">
        <f>Ref!$L$57</f>
        <v>-14</v>
      </c>
      <c r="P85" s="204" t="s">
        <v>300</v>
      </c>
      <c r="Q85" s="179">
        <v>1</v>
      </c>
      <c r="R85" s="204" t="s">
        <v>300</v>
      </c>
      <c r="S85" s="198" t="s">
        <v>317</v>
      </c>
      <c r="T85" s="181">
        <f t="shared" si="13"/>
        <v>1.2</v>
      </c>
      <c r="U85" s="166"/>
      <c r="V85" s="166" t="s">
        <v>321</v>
      </c>
      <c r="W85" s="172"/>
      <c r="X85" s="166"/>
      <c r="Y85" s="166"/>
    </row>
    <row r="86" spans="1:25" s="6" customFormat="1" ht="14.25" x14ac:dyDescent="0.2">
      <c r="A86" s="200" t="s">
        <v>405</v>
      </c>
      <c r="B86" s="165" t="s">
        <v>406</v>
      </c>
      <c r="C86" s="165" t="s">
        <v>22</v>
      </c>
      <c r="D86" s="165" t="s">
        <v>22</v>
      </c>
      <c r="E86" s="319">
        <f>IF(Control!$D$5="Y","-",1)</f>
        <v>1</v>
      </c>
      <c r="F86" s="323" t="s">
        <v>22</v>
      </c>
      <c r="G86" s="327" t="s">
        <v>118</v>
      </c>
      <c r="H86" s="176" t="str">
        <f>IF(G86="",B86,B86&amp;"_"&amp;LEFT(Control!$D$22,LEN(Control!$D$22)-2))</f>
        <v>MTS_8</v>
      </c>
      <c r="I86" s="177">
        <v>0.6</v>
      </c>
      <c r="J86" s="181">
        <v>0</v>
      </c>
      <c r="K86" s="181">
        <v>0</v>
      </c>
      <c r="L86" s="177">
        <v>0</v>
      </c>
      <c r="M86" s="181">
        <v>0</v>
      </c>
      <c r="N86" s="181">
        <v>0</v>
      </c>
      <c r="O86" s="179">
        <f>Ref!$L$57</f>
        <v>-14</v>
      </c>
      <c r="P86" s="204" t="s">
        <v>300</v>
      </c>
      <c r="Q86" s="179">
        <v>1</v>
      </c>
      <c r="R86" s="204" t="s">
        <v>300</v>
      </c>
      <c r="S86" s="198" t="s">
        <v>317</v>
      </c>
      <c r="T86" s="181">
        <f t="shared" si="13"/>
        <v>1</v>
      </c>
      <c r="U86" s="166"/>
      <c r="V86" s="166" t="s">
        <v>310</v>
      </c>
      <c r="W86" s="172"/>
      <c r="X86" s="166"/>
      <c r="Y86" s="166"/>
    </row>
    <row r="87" spans="1:25" s="6" customFormat="1" ht="14.25" x14ac:dyDescent="0.2">
      <c r="A87" s="200" t="s">
        <v>407</v>
      </c>
      <c r="B87" s="165" t="s">
        <v>408</v>
      </c>
      <c r="C87" s="165">
        <v>15</v>
      </c>
      <c r="D87" s="165">
        <v>15</v>
      </c>
      <c r="E87" s="319">
        <f>IF(OR(Control!$D$5="Y",SUM(K87:L87)=0),"-",1)</f>
        <v>1</v>
      </c>
      <c r="F87" s="323" t="str">
        <f>LEFT(Control!$D$23,1)</f>
        <v>A</v>
      </c>
      <c r="G87" s="327" t="s">
        <v>118</v>
      </c>
      <c r="H87" s="176" t="str">
        <f>IF(G87="",B87,B87&amp;"_"&amp;LEFT(Control!$D$23,1)&amp;LEFT(Control!$D$22,LEN(Control!$D$22)-2))</f>
        <v>RCW_A8</v>
      </c>
      <c r="I87" s="177">
        <v>0.6</v>
      </c>
      <c r="J87" s="178">
        <f>INDEX(Ref!$D$7:$G$40,MATCH('Weather Cases'!D87,Ref!$C$7:$C$40,0),MATCH(LEFT(Control!$D$23,1)&amp;"MW",Ref!$D$6:$G$6,0))</f>
        <v>0.77700000000000002</v>
      </c>
      <c r="K87" s="178">
        <f>J87^2*0.6</f>
        <v>0.36223740000000004</v>
      </c>
      <c r="L87" s="177">
        <v>0</v>
      </c>
      <c r="M87" s="181">
        <v>0</v>
      </c>
      <c r="N87" s="181">
        <v>0</v>
      </c>
      <c r="O87" s="179">
        <f>Ref!$L$55</f>
        <v>5</v>
      </c>
      <c r="P87" s="204" t="s">
        <v>300</v>
      </c>
      <c r="Q87" s="179">
        <v>1</v>
      </c>
      <c r="R87" s="204" t="s">
        <v>300</v>
      </c>
      <c r="S87" s="197" t="s">
        <v>301</v>
      </c>
      <c r="T87" s="181">
        <f t="shared" si="13"/>
        <v>1</v>
      </c>
      <c r="U87" s="203"/>
      <c r="V87" s="166" t="s">
        <v>302</v>
      </c>
      <c r="W87" s="172"/>
      <c r="X87" s="166"/>
      <c r="Y87" s="166"/>
    </row>
    <row r="88" spans="1:25" s="6" customFormat="1" ht="14.25" x14ac:dyDescent="0.2">
      <c r="A88" s="200" t="s">
        <v>409</v>
      </c>
      <c r="B88" s="165" t="s">
        <v>410</v>
      </c>
      <c r="C88" s="165">
        <v>10</v>
      </c>
      <c r="D88" s="165">
        <v>10</v>
      </c>
      <c r="E88" s="319">
        <f>IF(OR(Control!$D$5="Y",SUM(K88:L88)=0),"-",1)</f>
        <v>1</v>
      </c>
      <c r="F88" s="323" t="str">
        <f>LEFT(Control!$D$23,1)</f>
        <v>A</v>
      </c>
      <c r="G88" s="327" t="s">
        <v>118</v>
      </c>
      <c r="H88" s="176" t="str">
        <f>IF(G88="",B88,B88&amp;"_"&amp;LEFT(Control!$D$23,1)&amp;LEFT(Control!$D$22,LEN(Control!$D$22)-2))</f>
        <v>CA6_A8</v>
      </c>
      <c r="I88" s="177">
        <v>0.6</v>
      </c>
      <c r="J88" s="178">
        <f>INDEX(Ref!$D$7:$G$40,MATCH('Weather Cases'!D88,Ref!$C$7:$C$40,0),MATCH(LEFT(Control!$D$23,1)&amp;"MW",Ref!$D$6:$G$6,0))</f>
        <v>0.749</v>
      </c>
      <c r="K88" s="178">
        <f>J88^2*0.6</f>
        <v>0.33660059999999997</v>
      </c>
      <c r="L88" s="177">
        <v>0</v>
      </c>
      <c r="M88" s="181">
        <v>0</v>
      </c>
      <c r="N88" s="181">
        <v>0</v>
      </c>
      <c r="O88" s="179">
        <f>Ref!$L$55</f>
        <v>5</v>
      </c>
      <c r="P88" s="204" t="s">
        <v>300</v>
      </c>
      <c r="Q88" s="179">
        <v>1</v>
      </c>
      <c r="R88" s="204" t="s">
        <v>300</v>
      </c>
      <c r="S88" s="197" t="s">
        <v>301</v>
      </c>
      <c r="T88" s="181">
        <f t="shared" si="13"/>
        <v>1</v>
      </c>
      <c r="U88" s="203"/>
      <c r="V88" s="166" t="s">
        <v>302</v>
      </c>
      <c r="W88" s="172"/>
      <c r="X88" s="166"/>
      <c r="Y88" s="166"/>
    </row>
    <row r="89" spans="1:25" s="6" customFormat="1" ht="14.25" x14ac:dyDescent="0.2">
      <c r="A89" s="200" t="s">
        <v>411</v>
      </c>
      <c r="B89" s="165" t="s">
        <v>412</v>
      </c>
      <c r="C89" s="165">
        <v>4</v>
      </c>
      <c r="D89" s="165">
        <v>4</v>
      </c>
      <c r="E89" s="319">
        <f>IF(OR(Control!$D$5="Y",SUM(K89:L89)=0),"-",1)</f>
        <v>1</v>
      </c>
      <c r="F89" s="323" t="str">
        <f>LEFT(Control!$D$23,1)</f>
        <v>A</v>
      </c>
      <c r="G89" s="327" t="s">
        <v>118</v>
      </c>
      <c r="H89" s="176" t="str">
        <f>IF(G89="",B89,B89&amp;"_"&amp;LEFT(Control!$D$23,1)&amp;LEFT(Control!$D$22,LEN(Control!$D$22)-2))</f>
        <v>CA1_A8</v>
      </c>
      <c r="I89" s="177">
        <v>0.6</v>
      </c>
      <c r="J89" s="178">
        <f>INDEX(Ref!$D$7:$G$40,MATCH('Weather Cases'!D89,Ref!$C$7:$C$40,0),MATCH(LEFT(Control!$D$23,1)&amp;"MW",Ref!$D$6:$G$6,0))</f>
        <v>0.68100000000000005</v>
      </c>
      <c r="K89" s="178">
        <f>J89^2*0.6</f>
        <v>0.27825660000000002</v>
      </c>
      <c r="L89" s="177">
        <v>0</v>
      </c>
      <c r="M89" s="181">
        <v>0</v>
      </c>
      <c r="N89" s="181">
        <v>0</v>
      </c>
      <c r="O89" s="179">
        <f>Ref!$L$55</f>
        <v>5</v>
      </c>
      <c r="P89" s="204" t="s">
        <v>300</v>
      </c>
      <c r="Q89" s="179">
        <v>1</v>
      </c>
      <c r="R89" s="204" t="s">
        <v>300</v>
      </c>
      <c r="S89" s="197" t="s">
        <v>301</v>
      </c>
      <c r="T89" s="181">
        <f t="shared" si="13"/>
        <v>1</v>
      </c>
      <c r="U89" s="203"/>
      <c r="V89" s="166" t="s">
        <v>302</v>
      </c>
      <c r="W89" s="172"/>
      <c r="X89" s="166"/>
      <c r="Y89" s="166"/>
    </row>
    <row r="90" spans="1:25" s="6" customFormat="1" ht="14.25" x14ac:dyDescent="0.2">
      <c r="A90" s="200" t="s">
        <v>413</v>
      </c>
      <c r="B90" s="165" t="s">
        <v>414</v>
      </c>
      <c r="C90" s="165">
        <v>2</v>
      </c>
      <c r="D90" s="165">
        <v>2</v>
      </c>
      <c r="E90" s="319">
        <f>IF(OR(Control!$D$5="Y",SUM(K90:L90)=0),"-",1)</f>
        <v>1</v>
      </c>
      <c r="F90" s="323" t="str">
        <f>LEFT(Control!$D$23,1)</f>
        <v>A</v>
      </c>
      <c r="G90" s="327" t="s">
        <v>118</v>
      </c>
      <c r="H90" s="176" t="str">
        <f>IF(G90="",B90,B90&amp;"_"&amp;LEFT(Control!$D$23,1)&amp;LEFT(Control!$D$22,LEN(Control!$D$22)-2))</f>
        <v>CA0_A8</v>
      </c>
      <c r="I90" s="177">
        <v>0.6</v>
      </c>
      <c r="J90" s="178">
        <f>INDEX(Ref!$D$7:$G$40,MATCH('Weather Cases'!D90,Ref!$C$7:$C$40,0),MATCH(LEFT(Control!$D$23,1)&amp;"MW",Ref!$D$6:$G$6,0))</f>
        <v>0.625</v>
      </c>
      <c r="K90" s="178">
        <f>J90^2*0.6</f>
        <v>0.234375</v>
      </c>
      <c r="L90" s="177">
        <v>0</v>
      </c>
      <c r="M90" s="181">
        <v>0</v>
      </c>
      <c r="N90" s="181">
        <v>0</v>
      </c>
      <c r="O90" s="179">
        <f>Ref!$L$55</f>
        <v>5</v>
      </c>
      <c r="P90" s="204" t="s">
        <v>300</v>
      </c>
      <c r="Q90" s="179">
        <v>1</v>
      </c>
      <c r="R90" s="204" t="s">
        <v>300</v>
      </c>
      <c r="S90" s="197" t="s">
        <v>301</v>
      </c>
      <c r="T90" s="181">
        <f t="shared" si="13"/>
        <v>1</v>
      </c>
      <c r="U90" s="203"/>
      <c r="V90" s="166" t="s">
        <v>302</v>
      </c>
      <c r="W90" s="172"/>
      <c r="X90" s="166"/>
      <c r="Y90" s="166"/>
    </row>
    <row r="91" spans="1:25" s="6" customFormat="1" ht="14.25" x14ac:dyDescent="0.2">
      <c r="A91" s="200" t="s">
        <v>415</v>
      </c>
      <c r="B91" s="165" t="s">
        <v>416</v>
      </c>
      <c r="C91" s="165"/>
      <c r="D91" s="165" t="s">
        <v>22</v>
      </c>
      <c r="E91" s="319">
        <f>IF(OR(Control!$D$5="Y",SUM(L91)=0),"-",1)</f>
        <v>1</v>
      </c>
      <c r="F91" s="323" t="s">
        <v>22</v>
      </c>
      <c r="G91" s="327" t="s">
        <v>118</v>
      </c>
      <c r="H91" s="176" t="str">
        <f>IF(G91="",B91,B91&amp;"_"&amp;LEFT(Control!$D$22,LEN(Control!$D$22)-2))</f>
        <v>RCS_8</v>
      </c>
      <c r="I91" s="177">
        <v>0.6</v>
      </c>
      <c r="J91" s="181">
        <v>0</v>
      </c>
      <c r="K91" s="181">
        <v>0</v>
      </c>
      <c r="L91" s="473">
        <f>Ref!$N$120</f>
        <v>1</v>
      </c>
      <c r="M91" s="179">
        <f>Ref!$O$120</f>
        <v>3900</v>
      </c>
      <c r="N91" s="179">
        <v>0</v>
      </c>
      <c r="O91" s="181">
        <f>Ref!$L$58</f>
        <v>-5</v>
      </c>
      <c r="P91" s="204" t="s">
        <v>300</v>
      </c>
      <c r="Q91" s="179">
        <v>1</v>
      </c>
      <c r="R91" s="204" t="s">
        <v>300</v>
      </c>
      <c r="S91" s="198" t="s">
        <v>317</v>
      </c>
      <c r="T91" s="181">
        <f t="shared" si="13"/>
        <v>1.2</v>
      </c>
      <c r="U91" s="166"/>
      <c r="V91" s="166" t="s">
        <v>318</v>
      </c>
      <c r="W91" s="172"/>
      <c r="X91" s="166"/>
      <c r="Y91" s="166"/>
    </row>
    <row r="92" spans="1:25" s="6" customFormat="1" ht="14.25" x14ac:dyDescent="0.2">
      <c r="A92" s="200" t="s">
        <v>417</v>
      </c>
      <c r="B92" s="165" t="s">
        <v>418</v>
      </c>
      <c r="C92" s="165"/>
      <c r="D92" s="165" t="s">
        <v>22</v>
      </c>
      <c r="E92" s="319">
        <f>IF(OR(Control!$D$5="Y",SUM(L92)=0),"-",1)</f>
        <v>1</v>
      </c>
      <c r="F92" s="323" t="s">
        <v>22</v>
      </c>
      <c r="G92" s="327" t="s">
        <v>118</v>
      </c>
      <c r="H92" s="176" t="str">
        <f>IF(G92="",B92,B92&amp;"_"&amp;LEFT(Control!$D$22,LEN(Control!$D$22)-2))</f>
        <v>RCI_8</v>
      </c>
      <c r="I92" s="177">
        <v>0.6</v>
      </c>
      <c r="J92" s="181">
        <v>0</v>
      </c>
      <c r="K92" s="181">
        <v>0</v>
      </c>
      <c r="L92" s="473">
        <f>Ref!$T$120</f>
        <v>1.8</v>
      </c>
      <c r="M92" s="179">
        <f>Ref!$U$120</f>
        <v>6850</v>
      </c>
      <c r="N92" s="179">
        <v>0</v>
      </c>
      <c r="O92" s="181">
        <f>Ref!$L$57</f>
        <v>-14</v>
      </c>
      <c r="P92" s="204" t="s">
        <v>300</v>
      </c>
      <c r="Q92" s="179">
        <v>1</v>
      </c>
      <c r="R92" s="204" t="s">
        <v>300</v>
      </c>
      <c r="S92" s="198" t="s">
        <v>317</v>
      </c>
      <c r="T92" s="181">
        <f t="shared" si="13"/>
        <v>1.2</v>
      </c>
      <c r="U92" s="166"/>
      <c r="V92" s="166" t="s">
        <v>321</v>
      </c>
      <c r="W92" s="172"/>
      <c r="X92" s="166"/>
      <c r="Y92" s="166"/>
    </row>
    <row r="93" spans="1:25" s="6" customFormat="1" ht="15" x14ac:dyDescent="0.2">
      <c r="A93" s="471" t="s">
        <v>1137</v>
      </c>
      <c r="B93" s="165" t="s">
        <v>299</v>
      </c>
      <c r="C93" s="164">
        <v>2500</v>
      </c>
      <c r="D93" s="164">
        <v>2500</v>
      </c>
      <c r="E93" s="566">
        <v>1</v>
      </c>
      <c r="F93" s="323" t="str">
        <f>LEFT(Control!$D$23,1)</f>
        <v>A</v>
      </c>
      <c r="G93" s="327" t="s">
        <v>118</v>
      </c>
      <c r="H93" s="176" t="str">
        <f>IF(G93=0,B93&amp;TEXT(C93,"0000"),B93&amp;TEXT(C93,"0000")&amp;IF(C93="-","","_"&amp;LEFT(Control!$D$23,1)&amp;LEFT(Control!$D$22,LEN(Control!$D$22)-2)))</f>
        <v>MW2500_A8</v>
      </c>
      <c r="I93" s="177">
        <v>0.6</v>
      </c>
      <c r="J93" s="575">
        <v>1.0489999999999999</v>
      </c>
      <c r="K93" s="178">
        <f>J93^2*0.6</f>
        <v>0.66024059999999996</v>
      </c>
      <c r="L93" s="473">
        <v>0</v>
      </c>
      <c r="M93" s="179">
        <v>0</v>
      </c>
      <c r="N93" s="179">
        <v>0</v>
      </c>
      <c r="O93" s="179">
        <f>Ref!$L$55</f>
        <v>5</v>
      </c>
      <c r="P93" s="204" t="s">
        <v>300</v>
      </c>
      <c r="Q93" s="179">
        <v>1</v>
      </c>
      <c r="R93" s="204" t="s">
        <v>300</v>
      </c>
      <c r="S93" s="197" t="s">
        <v>301</v>
      </c>
      <c r="T93" s="181">
        <f t="shared" si="13"/>
        <v>1</v>
      </c>
      <c r="U93" s="166"/>
      <c r="V93" s="166"/>
      <c r="W93" s="172"/>
      <c r="X93" s="166"/>
      <c r="Y93" s="166"/>
    </row>
    <row r="94" spans="1:25" s="6" customFormat="1" ht="14.25" hidden="1" x14ac:dyDescent="0.2">
      <c r="A94" s="165" t="s">
        <v>420</v>
      </c>
      <c r="B94" s="165" t="s">
        <v>421</v>
      </c>
      <c r="C94" s="165">
        <v>500</v>
      </c>
      <c r="D94" s="164" t="s">
        <v>22</v>
      </c>
      <c r="E94" s="319" t="s">
        <v>22</v>
      </c>
      <c r="F94" s="323" t="s">
        <v>22</v>
      </c>
      <c r="G94" s="327" t="s">
        <v>22</v>
      </c>
      <c r="H94" s="176" t="str">
        <f>IF(G94="",B94,B94&amp;"_"&amp;LEFT(Control!$D$22,LEN(Control!$D$22)-2))</f>
        <v>EQ_8</v>
      </c>
      <c r="I94" s="177">
        <v>0.6</v>
      </c>
      <c r="J94" s="179">
        <v>0</v>
      </c>
      <c r="K94" s="179">
        <v>0</v>
      </c>
      <c r="L94" s="473">
        <v>0</v>
      </c>
      <c r="M94" s="179">
        <v>0</v>
      </c>
      <c r="N94" s="179">
        <v>0</v>
      </c>
      <c r="O94" s="181">
        <f>Ref!$L$54</f>
        <v>5</v>
      </c>
      <c r="P94" s="204" t="s">
        <v>300</v>
      </c>
      <c r="Q94" s="179">
        <v>1</v>
      </c>
      <c r="R94" s="204" t="s">
        <v>300</v>
      </c>
      <c r="S94" s="198" t="s">
        <v>317</v>
      </c>
      <c r="T94" s="181">
        <f t="shared" ref="T94" si="14">IF(L94&gt;0,1.2,1)</f>
        <v>1</v>
      </c>
      <c r="U94" s="166"/>
      <c r="V94" s="166" t="s">
        <v>328</v>
      </c>
      <c r="W94" s="172"/>
      <c r="X94" s="166"/>
      <c r="Y94" s="166"/>
    </row>
  </sheetData>
  <sheetProtection autoFilter="0"/>
  <autoFilter ref="A8:V94" xr:uid="{00000000-0009-0000-0000-000004000000}">
    <filterColumn colId="4">
      <filters>
        <filter val="1"/>
      </filters>
    </filterColumn>
  </autoFilter>
  <conditionalFormatting sqref="C10:C39">
    <cfRule type="expression" dxfId="46" priority="68">
      <formula>C10&lt;1</formula>
    </cfRule>
  </conditionalFormatting>
  <conditionalFormatting sqref="C48:C90">
    <cfRule type="expression" dxfId="45" priority="4">
      <formula>C48&lt;1</formula>
    </cfRule>
  </conditionalFormatting>
  <conditionalFormatting sqref="C93">
    <cfRule type="expression" dxfId="44" priority="3">
      <formula>C93&lt;1</formula>
    </cfRule>
  </conditionalFormatting>
  <conditionalFormatting sqref="D10:D94">
    <cfRule type="expression" dxfId="43" priority="5">
      <formula>D10&lt;1</formula>
    </cfRule>
  </conditionalFormatting>
  <conditionalFormatting sqref="K10:K39">
    <cfRule type="expression" dxfId="42" priority="41">
      <formula>$K$41&gt;1</formula>
    </cfRule>
  </conditionalFormatting>
  <conditionalFormatting sqref="K41">
    <cfRule type="expression" dxfId="41" priority="86">
      <formula>$K$41&gt;1</formula>
    </cfRule>
  </conditionalFormatting>
  <conditionalFormatting sqref="K49 K52 K82">
    <cfRule type="expression" dxfId="40" priority="111">
      <formula>$K$41&gt;1</formula>
    </cfRule>
  </conditionalFormatting>
  <conditionalFormatting sqref="K68:K77">
    <cfRule type="expression" dxfId="39" priority="6">
      <formula>$K$41&gt;1</formula>
    </cfRule>
  </conditionalFormatting>
  <conditionalFormatting sqref="K87:K90">
    <cfRule type="expression" dxfId="38" priority="39">
      <formula>$K$41&gt;1</formula>
    </cfRule>
  </conditionalFormatting>
  <conditionalFormatting sqref="K93">
    <cfRule type="expression" dxfId="37" priority="1">
      <formula>$K$41&gt;1</formula>
    </cfRule>
  </conditionalFormatting>
  <hyperlinks>
    <hyperlink ref="E1" location="Control!A1" display="CONTROL INPUT" xr:uid="{00000000-0004-0000-0400-000000000000}"/>
    <hyperlink ref="A1" location="Instructions!A1" display="INSTRUCTIONS" xr:uid="{00000000-0004-0000-0400-000001000000}"/>
    <hyperlink ref="H1" location="'Structure Groups'!A1" display="STRUCTURE GROUPS" xr:uid="{00000000-0004-0000-0400-000002000000}"/>
    <hyperlink ref="C1" location="'Staking Table'!A1" display="STAKING TABLE" xr:uid="{00000000-0004-0000-0400-000003000000}"/>
    <hyperlink ref="K1" location="'Load Criteria'!A1" display="LOAD CRITERIA" xr:uid="{00000000-0004-0000-0400-000004000000}"/>
    <hyperlink ref="N1" location="'pls-cadd folders'!A1" display="PLS-CADD" xr:uid="{00000000-0004-0000-0400-000005000000}"/>
  </hyperlinks>
  <pageMargins left="0.70866141732283472" right="0.70866141732283472" top="0.74803149606299213" bottom="0.74803149606299213" header="0.31496062992125984" footer="0.31496062992125984"/>
  <pageSetup paperSize="9" scale="58" fitToHeight="2" orientation="landscape" horizontalDpi="4294967292" r:id="rId1"/>
  <headerFooter>
    <oddHeader>&amp;L&amp;G&amp;C&amp;"Arial,Bold"&amp;12WEATHER CASES&amp;RPage &amp;P of &amp;N</oddHeader>
    <oddFooter>&amp;LAD - TE Lines&amp;C&amp;F : &amp;A&amp;R&amp;D</oddFooter>
  </headerFooter>
  <ignoredErrors>
    <ignoredError sqref="J40:O40 J60:N60 J42:O48 L41:O41 K51 L49:O49 J53:O55 L52:O52 H41 J41 J50:J51 E49:J49 E52:G52 E51:I51 E80:H81 I52:J52 H73 K50 M50:O50 M51:O51 F50 I50" formula="1"/>
    <ignoredError sqref="E48" formulaRange="1"/>
  </ignoredErrors>
  <legacyDrawing r:id="rId2"/>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filterMode="1">
    <pageSetUpPr fitToPage="1"/>
  </sheetPr>
  <dimension ref="B1:J54"/>
  <sheetViews>
    <sheetView showGridLines="0" zoomScale="130" zoomScaleNormal="130" workbookViewId="0">
      <selection activeCell="G15" sqref="G15"/>
    </sheetView>
  </sheetViews>
  <sheetFormatPr defaultRowHeight="12.75" x14ac:dyDescent="0.2"/>
  <cols>
    <col min="1" max="1" width="1.28515625" customWidth="1"/>
    <col min="2" max="2" width="13.140625" customWidth="1"/>
    <col min="3" max="3" width="12.28515625" customWidth="1"/>
    <col min="4" max="4" width="13.28515625" customWidth="1"/>
    <col min="5" max="5" width="17.140625" customWidth="1"/>
    <col min="6" max="6" width="12.28515625" customWidth="1"/>
    <col min="7" max="7" width="11" customWidth="1"/>
    <col min="8" max="8" width="10.28515625" customWidth="1"/>
    <col min="9" max="9" width="46.42578125" customWidth="1"/>
    <col min="10" max="10" width="26" customWidth="1"/>
  </cols>
  <sheetData>
    <row r="1" spans="2:10" ht="23.25" x14ac:dyDescent="0.35">
      <c r="B1" s="193" t="str">
        <f>Control!$B$4&amp;" "&amp;Control!$D$4&amp;" Rev "&amp;Control!$H$4</f>
        <v>GIP_Standard T1-T3 Rev A</v>
      </c>
      <c r="I1" s="2" t="str">
        <f>Control!$B$3</f>
        <v>PLS-CADD WC &amp; LC Generator Master Rev H.xlsx</v>
      </c>
    </row>
    <row r="2" spans="2:10" x14ac:dyDescent="0.2">
      <c r="B2" s="30" t="s">
        <v>422</v>
      </c>
      <c r="F2" s="3"/>
      <c r="J2" s="361"/>
    </row>
    <row r="3" spans="2:10" x14ac:dyDescent="0.2">
      <c r="F3" s="2" t="s">
        <v>423</v>
      </c>
      <c r="G3" s="366" t="str">
        <f>Control!B4&amp;"_"&amp;Control!D4&amp;"\PLS\Cables"</f>
        <v>GIP_Standard_T1-T3\PLS\Cables</v>
      </c>
      <c r="H3" s="351"/>
      <c r="I3" s="351"/>
    </row>
    <row r="4" spans="2:10" x14ac:dyDescent="0.2">
      <c r="C4" t="s">
        <v>424</v>
      </c>
    </row>
    <row r="6" spans="2:10" s="1" customFormat="1" ht="51" x14ac:dyDescent="0.2">
      <c r="B6" s="354" t="s">
        <v>425</v>
      </c>
      <c r="C6" s="354" t="s">
        <v>426</v>
      </c>
      <c r="D6" s="355" t="s">
        <v>427</v>
      </c>
      <c r="E6" s="355" t="s">
        <v>428</v>
      </c>
      <c r="F6" s="355" t="s">
        <v>429</v>
      </c>
      <c r="G6" s="355" t="s">
        <v>430</v>
      </c>
      <c r="H6" s="355" t="s">
        <v>431</v>
      </c>
      <c r="I6" s="355" t="s">
        <v>432</v>
      </c>
    </row>
    <row r="7" spans="2:10" s="1" customFormat="1" x14ac:dyDescent="0.2">
      <c r="B7" s="131">
        <f>IF(Control!$D10="*None*","-",1)</f>
        <v>1</v>
      </c>
      <c r="C7" s="356" t="str">
        <f>IF(INDEX('Weather Cases'!$G$10:$G$94,MATCH(D7,'Weather Cases'!$H$10:$H$94,0),1)="H","YES","")</f>
        <v/>
      </c>
      <c r="D7" s="357" t="str">
        <f>'Weather Cases'!H56</f>
        <v>VDC</v>
      </c>
      <c r="E7" s="357" t="s">
        <v>433</v>
      </c>
      <c r="F7" s="358">
        <f>Control!G10</f>
        <v>0.22</v>
      </c>
      <c r="G7" s="359"/>
      <c r="H7" s="359"/>
      <c r="I7" s="359" t="str">
        <f>Control!J10</f>
        <v>chukar_nz_acsr_ac_greased_04092013_l_downlead 6 degree creep.wir</v>
      </c>
    </row>
    <row r="8" spans="2:10" s="1" customFormat="1" x14ac:dyDescent="0.2">
      <c r="B8" s="131" t="str">
        <f>IF(Control!$D11="*None*","-",1)</f>
        <v>-</v>
      </c>
      <c r="C8" s="356" t="str">
        <f>IF(INDEX('Weather Cases'!$G$10:$G$94,MATCH(D8,'Weather Cases'!$H$10:$H$94,0),1)="H","YES","")</f>
        <v/>
      </c>
      <c r="D8" s="357" t="str">
        <f>D7</f>
        <v>VDC</v>
      </c>
      <c r="E8" s="357" t="s">
        <v>433</v>
      </c>
      <c r="F8" s="358">
        <f>Control!G11</f>
        <v>0.22</v>
      </c>
      <c r="G8" s="359"/>
      <c r="H8" s="359"/>
      <c r="I8" s="359" t="str">
        <f>Control!J11</f>
        <v>chukar_nz_acsr_ac_greased_04092013_l.wir</v>
      </c>
    </row>
    <row r="9" spans="2:10" s="1" customFormat="1" x14ac:dyDescent="0.2">
      <c r="B9" s="131" t="str">
        <f>IF(Control!$D12="*None*","-",1)</f>
        <v>-</v>
      </c>
      <c r="C9" s="356" t="str">
        <f>IF(INDEX('Weather Cases'!$G$10:$G$94,MATCH(D9,'Weather Cases'!$H$10:$H$94,0),1)="H","YES","")</f>
        <v/>
      </c>
      <c r="D9" s="357" t="str">
        <f t="shared" ref="D9:D14" si="0">D8</f>
        <v>VDC</v>
      </c>
      <c r="E9" s="357" t="s">
        <v>433</v>
      </c>
      <c r="F9" s="358">
        <f>Control!G12</f>
        <v>0.23</v>
      </c>
      <c r="G9" s="359"/>
      <c r="H9" s="359"/>
      <c r="I9" s="359" t="str">
        <f>Control!J12</f>
        <v>zebra_acsr_gz_greased_pre1977_l.wir</v>
      </c>
    </row>
    <row r="10" spans="2:10" s="1" customFormat="1" hidden="1" x14ac:dyDescent="0.2">
      <c r="B10" s="131" t="str">
        <f>IF(Control!$D13="*None*","-",1)</f>
        <v>-</v>
      </c>
      <c r="C10" s="356" t="str">
        <f>IF(INDEX('Weather Cases'!$G$10:$G$94,MATCH(D10,'Weather Cases'!$H$10:$H$94,0),1)="H","YES","")</f>
        <v/>
      </c>
      <c r="D10" s="357" t="str">
        <f t="shared" si="0"/>
        <v>VDC</v>
      </c>
      <c r="E10" s="357" t="s">
        <v>433</v>
      </c>
      <c r="F10" s="358">
        <f>Control!G13</f>
        <v>0</v>
      </c>
      <c r="G10" s="359"/>
      <c r="H10" s="359"/>
      <c r="I10" s="359">
        <f>Control!J13</f>
        <v>0</v>
      </c>
    </row>
    <row r="11" spans="2:10" s="1" customFormat="1" x14ac:dyDescent="0.2">
      <c r="B11" s="131" t="str">
        <f>IF(Control!$D14="*None*","-",1)</f>
        <v>-</v>
      </c>
      <c r="C11" s="356" t="str">
        <f>IF(INDEX('Weather Cases'!$G$10:$G$94,MATCH(D11,'Weather Cases'!$H$10:$H$94,0),1)="H","YES","")</f>
        <v/>
      </c>
      <c r="D11" s="357" t="str">
        <f t="shared" si="0"/>
        <v>VDC</v>
      </c>
      <c r="E11" s="357" t="s">
        <v>433</v>
      </c>
      <c r="F11" s="358">
        <f>Control!G14</f>
        <v>0.22</v>
      </c>
      <c r="G11" s="359"/>
      <c r="H11" s="359"/>
      <c r="I11" s="359" t="str">
        <f>Control!J14</f>
        <v>7_3-05_scac_greased_l.wir</v>
      </c>
    </row>
    <row r="12" spans="2:10" s="1" customFormat="1" hidden="1" x14ac:dyDescent="0.2">
      <c r="B12" s="131" t="str">
        <f>IF(Control!$D15="*None*","-",1)</f>
        <v>-</v>
      </c>
      <c r="C12" s="356" t="str">
        <f>IF(INDEX('Weather Cases'!$G$10:$G$94,MATCH(D12,'Weather Cases'!$H$10:$H$94,0),1)="H","YES","")</f>
        <v/>
      </c>
      <c r="D12" s="357" t="str">
        <f t="shared" si="0"/>
        <v>VDC</v>
      </c>
      <c r="E12" s="357" t="s">
        <v>433</v>
      </c>
      <c r="F12" s="358">
        <f>Control!G15</f>
        <v>0</v>
      </c>
      <c r="G12" s="359"/>
      <c r="H12" s="359"/>
      <c r="I12" s="359">
        <f>Control!J15</f>
        <v>0</v>
      </c>
    </row>
    <row r="13" spans="2:10" s="1" customFormat="1" hidden="1" x14ac:dyDescent="0.2">
      <c r="B13" s="131" t="str">
        <f>IF(Control!$D16="*None*","-",1)</f>
        <v>-</v>
      </c>
      <c r="C13" s="356" t="str">
        <f>IF(INDEX('Weather Cases'!$G$10:$G$94,MATCH(D13,'Weather Cases'!$H$10:$H$94,0),1)="H","YES","")</f>
        <v/>
      </c>
      <c r="D13" s="357" t="str">
        <f t="shared" si="0"/>
        <v>VDC</v>
      </c>
      <c r="E13" s="357" t="s">
        <v>433</v>
      </c>
      <c r="F13" s="358">
        <f>Control!G16</f>
        <v>0</v>
      </c>
      <c r="G13" s="359"/>
      <c r="H13" s="359"/>
      <c r="I13" s="359">
        <f>Control!J16</f>
        <v>0</v>
      </c>
    </row>
    <row r="14" spans="2:10" s="1" customFormat="1" hidden="1" x14ac:dyDescent="0.2">
      <c r="B14" s="131" t="str">
        <f>IF(Control!$D17="*None*","-",1)</f>
        <v>-</v>
      </c>
      <c r="C14" s="356" t="str">
        <f>IF(INDEX('Weather Cases'!$G$10:$G$94,MATCH(D14,'Weather Cases'!$H$10:$H$94,0),1)="H","YES","")</f>
        <v/>
      </c>
      <c r="D14" s="357" t="str">
        <f t="shared" si="0"/>
        <v>VDC</v>
      </c>
      <c r="E14" s="357" t="s">
        <v>433</v>
      </c>
      <c r="F14" s="358">
        <f>Control!G17</f>
        <v>0</v>
      </c>
      <c r="G14" s="359"/>
      <c r="H14" s="359"/>
      <c r="I14" s="359">
        <f>Control!J17</f>
        <v>0</v>
      </c>
    </row>
    <row r="15" spans="2:10" x14ac:dyDescent="0.2">
      <c r="B15" s="131">
        <f>B7</f>
        <v>1</v>
      </c>
      <c r="C15" s="356" t="str">
        <f>IF(INDEX('Weather Cases'!$G$10:$G$94,MATCH(D15,'Weather Cases'!$H$10:$H$94,0),1)="H","YES","")</f>
        <v>YES</v>
      </c>
      <c r="D15" s="357" t="str">
        <f>"MW"&amp;TEXT(Selected_Line_Reliability,"0000")&amp;"_"&amp;LEFT(Control!D23,1)&amp;Control!D22/100</f>
        <v>MW0300_A8</v>
      </c>
      <c r="E15" s="357" t="s">
        <v>433</v>
      </c>
      <c r="F15" s="360">
        <f>Control!H10</f>
        <v>0.7</v>
      </c>
      <c r="G15" s="357"/>
      <c r="H15" s="357"/>
      <c r="I15" s="357" t="str">
        <f>I7</f>
        <v>chukar_nz_acsr_ac_greased_04092013_l_downlead 6 degree creep.wir</v>
      </c>
    </row>
    <row r="16" spans="2:10" x14ac:dyDescent="0.2">
      <c r="B16" s="131" t="str">
        <f t="shared" ref="B16:B30" si="1">B8</f>
        <v>-</v>
      </c>
      <c r="C16" s="356" t="str">
        <f>IF(INDEX('Weather Cases'!$G$10:$G$94,MATCH(D16,'Weather Cases'!$H$10:$H$94,0),1)="H","YES","")</f>
        <v>YES</v>
      </c>
      <c r="D16" s="357" t="str">
        <f>D15</f>
        <v>MW0300_A8</v>
      </c>
      <c r="E16" s="357" t="s">
        <v>433</v>
      </c>
      <c r="F16" s="360">
        <f>Control!H11</f>
        <v>0.7</v>
      </c>
      <c r="G16" s="357"/>
      <c r="H16" s="357"/>
      <c r="I16" s="357" t="str">
        <f t="shared" ref="I16:I54" si="2">I8</f>
        <v>chukar_nz_acsr_ac_greased_04092013_l.wir</v>
      </c>
    </row>
    <row r="17" spans="2:9" x14ac:dyDescent="0.2">
      <c r="B17" s="131" t="str">
        <f t="shared" si="1"/>
        <v>-</v>
      </c>
      <c r="C17" s="356" t="str">
        <f>IF(INDEX('Weather Cases'!$G$10:$G$94,MATCH(D17,'Weather Cases'!$H$10:$H$94,0),1)="H","YES","")</f>
        <v>YES</v>
      </c>
      <c r="D17" s="357" t="str">
        <f t="shared" ref="D17:D22" si="3">D16</f>
        <v>MW0300_A8</v>
      </c>
      <c r="E17" s="357" t="s">
        <v>433</v>
      </c>
      <c r="F17" s="360">
        <f>Control!H12</f>
        <v>0.7</v>
      </c>
      <c r="G17" s="357"/>
      <c r="H17" s="357"/>
      <c r="I17" s="357" t="str">
        <f t="shared" si="2"/>
        <v>zebra_acsr_gz_greased_pre1977_l.wir</v>
      </c>
    </row>
    <row r="18" spans="2:9" hidden="1" x14ac:dyDescent="0.2">
      <c r="B18" s="131" t="str">
        <f t="shared" si="1"/>
        <v>-</v>
      </c>
      <c r="C18" s="356" t="str">
        <f>IF(INDEX('Weather Cases'!$G$10:$G$94,MATCH(D18,'Weather Cases'!$H$10:$H$94,0),1)="H","YES","")</f>
        <v>YES</v>
      </c>
      <c r="D18" s="357" t="str">
        <f t="shared" si="3"/>
        <v>MW0300_A8</v>
      </c>
      <c r="E18" s="357" t="s">
        <v>433</v>
      </c>
      <c r="F18" s="360">
        <f>Control!H13</f>
        <v>0</v>
      </c>
      <c r="G18" s="357"/>
      <c r="H18" s="357"/>
      <c r="I18" s="357">
        <f t="shared" si="2"/>
        <v>0</v>
      </c>
    </row>
    <row r="19" spans="2:9" x14ac:dyDescent="0.2">
      <c r="B19" s="131" t="str">
        <f t="shared" si="1"/>
        <v>-</v>
      </c>
      <c r="C19" s="356" t="str">
        <f>IF(INDEX('Weather Cases'!$G$10:$G$94,MATCH(D19,'Weather Cases'!$H$10:$H$94,0),1)="H","YES","")</f>
        <v>YES</v>
      </c>
      <c r="D19" s="357" t="str">
        <f t="shared" si="3"/>
        <v>MW0300_A8</v>
      </c>
      <c r="E19" s="357" t="s">
        <v>433</v>
      </c>
      <c r="F19" s="360">
        <f>Control!H14</f>
        <v>0.7</v>
      </c>
      <c r="G19" s="357"/>
      <c r="H19" s="357"/>
      <c r="I19" s="357" t="str">
        <f t="shared" si="2"/>
        <v>7_3-05_scac_greased_l.wir</v>
      </c>
    </row>
    <row r="20" spans="2:9" hidden="1" x14ac:dyDescent="0.2">
      <c r="B20" s="131" t="str">
        <f t="shared" si="1"/>
        <v>-</v>
      </c>
      <c r="C20" s="356" t="str">
        <f>IF(INDEX('Weather Cases'!$G$10:$G$94,MATCH(D20,'Weather Cases'!$H$10:$H$94,0),1)="H","YES","")</f>
        <v>YES</v>
      </c>
      <c r="D20" s="357" t="str">
        <f t="shared" si="3"/>
        <v>MW0300_A8</v>
      </c>
      <c r="E20" s="357" t="s">
        <v>433</v>
      </c>
      <c r="F20" s="360">
        <f>Control!H15</f>
        <v>0</v>
      </c>
      <c r="G20" s="357"/>
      <c r="H20" s="357"/>
      <c r="I20" s="357">
        <f t="shared" si="2"/>
        <v>0</v>
      </c>
    </row>
    <row r="21" spans="2:9" hidden="1" x14ac:dyDescent="0.2">
      <c r="B21" s="131" t="str">
        <f t="shared" si="1"/>
        <v>-</v>
      </c>
      <c r="C21" s="356" t="str">
        <f>IF(INDEX('Weather Cases'!$G$10:$G$94,MATCH(D21,'Weather Cases'!$H$10:$H$94,0),1)="H","YES","")</f>
        <v>YES</v>
      </c>
      <c r="D21" s="357" t="str">
        <f t="shared" si="3"/>
        <v>MW0300_A8</v>
      </c>
      <c r="E21" s="357" t="s">
        <v>433</v>
      </c>
      <c r="F21" s="360">
        <f>Control!H16</f>
        <v>0</v>
      </c>
      <c r="G21" s="357"/>
      <c r="H21" s="357"/>
      <c r="I21" s="357">
        <f t="shared" si="2"/>
        <v>0</v>
      </c>
    </row>
    <row r="22" spans="2:9" hidden="1" x14ac:dyDescent="0.2">
      <c r="B22" s="131" t="str">
        <f t="shared" si="1"/>
        <v>-</v>
      </c>
      <c r="C22" s="356" t="str">
        <f>IF(INDEX('Weather Cases'!$G$10:$G$94,MATCH(D22,'Weather Cases'!$H$10:$H$94,0),1)="H","YES","")</f>
        <v>YES</v>
      </c>
      <c r="D22" s="357" t="str">
        <f t="shared" si="3"/>
        <v>MW0300_A8</v>
      </c>
      <c r="E22" s="357" t="s">
        <v>433</v>
      </c>
      <c r="F22" s="360">
        <f>Control!H17</f>
        <v>0</v>
      </c>
      <c r="G22" s="357"/>
      <c r="H22" s="357"/>
      <c r="I22" s="357">
        <f t="shared" si="2"/>
        <v>0</v>
      </c>
    </row>
    <row r="23" spans="2:9" x14ac:dyDescent="0.2">
      <c r="B23" s="131">
        <f t="shared" si="1"/>
        <v>1</v>
      </c>
      <c r="C23" s="356" t="str">
        <f>IF(INDEX('Weather Cases'!$G$10:$G$94,MATCH(D23,'Weather Cases'!$H$10:$H$94,0),1)="H","YES","")</f>
        <v>YES</v>
      </c>
      <c r="D23" s="357" t="str">
        <f>"MT"&amp;TEXT(Selected_Line_Reliability,"0000")&amp;"_"&amp;LEFT(Control!D23,1)&amp;Control!D22/100</f>
        <v>MT0300_A8</v>
      </c>
      <c r="E23" s="357" t="s">
        <v>433</v>
      </c>
      <c r="F23" s="360">
        <f>F15</f>
        <v>0.7</v>
      </c>
      <c r="G23" s="357"/>
      <c r="H23" s="357"/>
      <c r="I23" s="357" t="str">
        <f t="shared" si="2"/>
        <v>chukar_nz_acsr_ac_greased_04092013_l_downlead 6 degree creep.wir</v>
      </c>
    </row>
    <row r="24" spans="2:9" x14ac:dyDescent="0.2">
      <c r="B24" s="131" t="str">
        <f t="shared" si="1"/>
        <v>-</v>
      </c>
      <c r="C24" s="356" t="str">
        <f>IF(INDEX('Weather Cases'!$G$10:$G$94,MATCH(D24,'Weather Cases'!$H$10:$H$94,0),1)="H","YES","")</f>
        <v>YES</v>
      </c>
      <c r="D24" s="357" t="str">
        <f>D23</f>
        <v>MT0300_A8</v>
      </c>
      <c r="E24" s="357" t="s">
        <v>433</v>
      </c>
      <c r="F24" s="360">
        <f t="shared" ref="F24:F30" si="4">F16</f>
        <v>0.7</v>
      </c>
      <c r="G24" s="357"/>
      <c r="H24" s="357"/>
      <c r="I24" s="357" t="str">
        <f t="shared" si="2"/>
        <v>chukar_nz_acsr_ac_greased_04092013_l.wir</v>
      </c>
    </row>
    <row r="25" spans="2:9" x14ac:dyDescent="0.2">
      <c r="B25" s="131" t="str">
        <f t="shared" si="1"/>
        <v>-</v>
      </c>
      <c r="C25" s="356" t="str">
        <f>IF(INDEX('Weather Cases'!$G$10:$G$94,MATCH(D25,'Weather Cases'!$H$10:$H$94,0),1)="H","YES","")</f>
        <v>YES</v>
      </c>
      <c r="D25" s="357" t="str">
        <f t="shared" ref="D25:D30" si="5">D24</f>
        <v>MT0300_A8</v>
      </c>
      <c r="E25" s="357" t="s">
        <v>433</v>
      </c>
      <c r="F25" s="360">
        <f t="shared" si="4"/>
        <v>0.7</v>
      </c>
      <c r="G25" s="357"/>
      <c r="H25" s="357"/>
      <c r="I25" s="357" t="str">
        <f t="shared" si="2"/>
        <v>zebra_acsr_gz_greased_pre1977_l.wir</v>
      </c>
    </row>
    <row r="26" spans="2:9" hidden="1" x14ac:dyDescent="0.2">
      <c r="B26" s="131" t="str">
        <f t="shared" si="1"/>
        <v>-</v>
      </c>
      <c r="C26" s="356" t="str">
        <f>IF(INDEX('Weather Cases'!$G$10:$G$94,MATCH(D26,'Weather Cases'!$H$10:$H$94,0),1)="H","YES","")</f>
        <v>YES</v>
      </c>
      <c r="D26" s="357" t="str">
        <f t="shared" si="5"/>
        <v>MT0300_A8</v>
      </c>
      <c r="E26" s="357" t="s">
        <v>433</v>
      </c>
      <c r="F26" s="360">
        <f t="shared" si="4"/>
        <v>0</v>
      </c>
      <c r="G26" s="357"/>
      <c r="H26" s="357"/>
      <c r="I26" s="357">
        <f t="shared" si="2"/>
        <v>0</v>
      </c>
    </row>
    <row r="27" spans="2:9" x14ac:dyDescent="0.2">
      <c r="B27" s="131" t="str">
        <f t="shared" si="1"/>
        <v>-</v>
      </c>
      <c r="C27" s="356" t="str">
        <f>IF(INDEX('Weather Cases'!$G$10:$G$94,MATCH(D27,'Weather Cases'!$H$10:$H$94,0),1)="H","YES","")</f>
        <v>YES</v>
      </c>
      <c r="D27" s="357" t="str">
        <f t="shared" si="5"/>
        <v>MT0300_A8</v>
      </c>
      <c r="E27" s="357" t="s">
        <v>433</v>
      </c>
      <c r="F27" s="360">
        <f t="shared" si="4"/>
        <v>0.7</v>
      </c>
      <c r="G27" s="357"/>
      <c r="H27" s="357"/>
      <c r="I27" s="357" t="str">
        <f t="shared" si="2"/>
        <v>7_3-05_scac_greased_l.wir</v>
      </c>
    </row>
    <row r="28" spans="2:9" hidden="1" x14ac:dyDescent="0.2">
      <c r="B28" s="131" t="str">
        <f t="shared" si="1"/>
        <v>-</v>
      </c>
      <c r="C28" s="356" t="str">
        <f>IF(INDEX('Weather Cases'!$G$10:$G$94,MATCH(D28,'Weather Cases'!$H$10:$H$94,0),1)="H","YES","")</f>
        <v>YES</v>
      </c>
      <c r="D28" s="357" t="str">
        <f t="shared" si="5"/>
        <v>MT0300_A8</v>
      </c>
      <c r="E28" s="357" t="s">
        <v>433</v>
      </c>
      <c r="F28" s="360">
        <f t="shared" si="4"/>
        <v>0</v>
      </c>
      <c r="G28" s="357"/>
      <c r="H28" s="357"/>
      <c r="I28" s="357">
        <f t="shared" si="2"/>
        <v>0</v>
      </c>
    </row>
    <row r="29" spans="2:9" hidden="1" x14ac:dyDescent="0.2">
      <c r="B29" s="131" t="str">
        <f t="shared" si="1"/>
        <v>-</v>
      </c>
      <c r="C29" s="356" t="str">
        <f>IF(INDEX('Weather Cases'!$G$10:$G$94,MATCH(D29,'Weather Cases'!$H$10:$H$94,0),1)="H","YES","")</f>
        <v>YES</v>
      </c>
      <c r="D29" s="357" t="str">
        <f t="shared" si="5"/>
        <v>MT0300_A8</v>
      </c>
      <c r="E29" s="357" t="s">
        <v>433</v>
      </c>
      <c r="F29" s="360">
        <f t="shared" si="4"/>
        <v>0</v>
      </c>
      <c r="G29" s="357"/>
      <c r="H29" s="357"/>
      <c r="I29" s="357">
        <f t="shared" si="2"/>
        <v>0</v>
      </c>
    </row>
    <row r="30" spans="2:9" hidden="1" x14ac:dyDescent="0.2">
      <c r="B30" s="131" t="str">
        <f t="shared" si="1"/>
        <v>-</v>
      </c>
      <c r="C30" s="356" t="str">
        <f>IF(INDEX('Weather Cases'!$G$10:$G$94,MATCH(D30,'Weather Cases'!$H$10:$H$94,0),1)="H","YES","")</f>
        <v>YES</v>
      </c>
      <c r="D30" s="357" t="str">
        <f t="shared" si="5"/>
        <v>MT0300_A8</v>
      </c>
      <c r="E30" s="357" t="s">
        <v>433</v>
      </c>
      <c r="F30" s="360">
        <f t="shared" si="4"/>
        <v>0</v>
      </c>
      <c r="G30" s="357"/>
      <c r="H30" s="357"/>
      <c r="I30" s="357">
        <f t="shared" si="2"/>
        <v>0</v>
      </c>
    </row>
    <row r="31" spans="2:9" x14ac:dyDescent="0.2">
      <c r="B31" s="131">
        <f>'Weather Cases'!E40</f>
        <v>1</v>
      </c>
      <c r="C31" s="356" t="str">
        <f>IF(INDEX('Weather Cases'!$G$10:$G$94,MATCH(D31,'Weather Cases'!$H$10:$H$94,0),1)="H","YES","")</f>
        <v>YES</v>
      </c>
      <c r="D31" s="357" t="str">
        <f>'Weather Cases'!H40</f>
        <v>ES0050_8</v>
      </c>
      <c r="E31" s="357" t="s">
        <v>433</v>
      </c>
      <c r="F31" s="360">
        <f>F15</f>
        <v>0.7</v>
      </c>
      <c r="G31" s="357"/>
      <c r="H31" s="357"/>
      <c r="I31" s="357" t="str">
        <f t="shared" si="2"/>
        <v>chukar_nz_acsr_ac_greased_04092013_l_downlead 6 degree creep.wir</v>
      </c>
    </row>
    <row r="32" spans="2:9" x14ac:dyDescent="0.2">
      <c r="B32" s="131" t="str">
        <f>IF(B31="-","-",B24)</f>
        <v>-</v>
      </c>
      <c r="C32" s="356" t="str">
        <f>IF(INDEX('Weather Cases'!$G$10:$G$94,MATCH(D32,'Weather Cases'!$H$10:$H$94,0),1)="H","YES","")</f>
        <v>YES</v>
      </c>
      <c r="D32" s="357" t="str">
        <f>D31</f>
        <v>ES0050_8</v>
      </c>
      <c r="E32" s="357" t="s">
        <v>433</v>
      </c>
      <c r="F32" s="360">
        <f t="shared" ref="F32:F54" si="6">F16</f>
        <v>0.7</v>
      </c>
      <c r="G32" s="357"/>
      <c r="H32" s="357"/>
      <c r="I32" s="357" t="str">
        <f t="shared" si="2"/>
        <v>chukar_nz_acsr_ac_greased_04092013_l.wir</v>
      </c>
    </row>
    <row r="33" spans="2:9" x14ac:dyDescent="0.2">
      <c r="B33" s="131" t="str">
        <f t="shared" ref="B33:B38" si="7">IF(B32="-","-",B25)</f>
        <v>-</v>
      </c>
      <c r="C33" s="356" t="str">
        <f>IF(INDEX('Weather Cases'!$G$10:$G$94,MATCH(D33,'Weather Cases'!$H$10:$H$94,0),1)="H","YES","")</f>
        <v>YES</v>
      </c>
      <c r="D33" s="357" t="str">
        <f t="shared" ref="D33:D38" si="8">D32</f>
        <v>ES0050_8</v>
      </c>
      <c r="E33" s="357" t="s">
        <v>433</v>
      </c>
      <c r="F33" s="360">
        <f t="shared" si="6"/>
        <v>0.7</v>
      </c>
      <c r="G33" s="357"/>
      <c r="H33" s="357"/>
      <c r="I33" s="357" t="str">
        <f t="shared" si="2"/>
        <v>zebra_acsr_gz_greased_pre1977_l.wir</v>
      </c>
    </row>
    <row r="34" spans="2:9" hidden="1" x14ac:dyDescent="0.2">
      <c r="B34" s="131" t="str">
        <f t="shared" si="7"/>
        <v>-</v>
      </c>
      <c r="C34" s="356" t="str">
        <f>IF(INDEX('Weather Cases'!$G$10:$G$94,MATCH(D34,'Weather Cases'!$H$10:$H$94,0),1)="H","YES","")</f>
        <v>YES</v>
      </c>
      <c r="D34" s="357" t="str">
        <f t="shared" si="8"/>
        <v>ES0050_8</v>
      </c>
      <c r="E34" s="357" t="s">
        <v>433</v>
      </c>
      <c r="F34" s="360">
        <f t="shared" si="6"/>
        <v>0</v>
      </c>
      <c r="G34" s="357"/>
      <c r="H34" s="357"/>
      <c r="I34" s="357">
        <f t="shared" si="2"/>
        <v>0</v>
      </c>
    </row>
    <row r="35" spans="2:9" hidden="1" x14ac:dyDescent="0.2">
      <c r="B35" s="131" t="str">
        <f t="shared" si="7"/>
        <v>-</v>
      </c>
      <c r="C35" s="356" t="str">
        <f>IF(INDEX('Weather Cases'!$G$10:$G$94,MATCH(D35,'Weather Cases'!$H$10:$H$94,0),1)="H","YES","")</f>
        <v>YES</v>
      </c>
      <c r="D35" s="357" t="str">
        <f t="shared" si="8"/>
        <v>ES0050_8</v>
      </c>
      <c r="E35" s="357" t="s">
        <v>433</v>
      </c>
      <c r="F35" s="360">
        <f t="shared" si="6"/>
        <v>0.7</v>
      </c>
      <c r="G35" s="357"/>
      <c r="H35" s="357"/>
      <c r="I35" s="357" t="str">
        <f t="shared" si="2"/>
        <v>7_3-05_scac_greased_l.wir</v>
      </c>
    </row>
    <row r="36" spans="2:9" hidden="1" x14ac:dyDescent="0.2">
      <c r="B36" s="131" t="str">
        <f t="shared" si="7"/>
        <v>-</v>
      </c>
      <c r="C36" s="356" t="str">
        <f>IF(INDEX('Weather Cases'!$G$10:$G$94,MATCH(D36,'Weather Cases'!$H$10:$H$94,0),1)="H","YES","")</f>
        <v>YES</v>
      </c>
      <c r="D36" s="357" t="str">
        <f t="shared" si="8"/>
        <v>ES0050_8</v>
      </c>
      <c r="E36" s="357" t="s">
        <v>433</v>
      </c>
      <c r="F36" s="360">
        <f t="shared" si="6"/>
        <v>0</v>
      </c>
      <c r="G36" s="357"/>
      <c r="H36" s="357"/>
      <c r="I36" s="357">
        <f t="shared" si="2"/>
        <v>0</v>
      </c>
    </row>
    <row r="37" spans="2:9" hidden="1" x14ac:dyDescent="0.2">
      <c r="B37" s="131" t="str">
        <f t="shared" si="7"/>
        <v>-</v>
      </c>
      <c r="C37" s="356" t="str">
        <f>IF(INDEX('Weather Cases'!$G$10:$G$94,MATCH(D37,'Weather Cases'!$H$10:$H$94,0),1)="H","YES","")</f>
        <v>YES</v>
      </c>
      <c r="D37" s="357" t="str">
        <f t="shared" si="8"/>
        <v>ES0050_8</v>
      </c>
      <c r="E37" s="357" t="s">
        <v>433</v>
      </c>
      <c r="F37" s="360">
        <f t="shared" si="6"/>
        <v>0</v>
      </c>
      <c r="G37" s="357"/>
      <c r="H37" s="357"/>
      <c r="I37" s="357">
        <f t="shared" si="2"/>
        <v>0</v>
      </c>
    </row>
    <row r="38" spans="2:9" hidden="1" x14ac:dyDescent="0.2">
      <c r="B38" s="131" t="str">
        <f t="shared" si="7"/>
        <v>-</v>
      </c>
      <c r="C38" s="356" t="str">
        <f>IF(INDEX('Weather Cases'!$G$10:$G$94,MATCH(D38,'Weather Cases'!$H$10:$H$94,0),1)="H","YES","")</f>
        <v>YES</v>
      </c>
      <c r="D38" s="357" t="str">
        <f t="shared" si="8"/>
        <v>ES0050_8</v>
      </c>
      <c r="E38" s="357" t="s">
        <v>433</v>
      </c>
      <c r="F38" s="360">
        <f t="shared" si="6"/>
        <v>0</v>
      </c>
      <c r="G38" s="357"/>
      <c r="H38" s="357"/>
      <c r="I38" s="357">
        <f t="shared" si="2"/>
        <v>0</v>
      </c>
    </row>
    <row r="39" spans="2:9" x14ac:dyDescent="0.2">
      <c r="B39" s="131">
        <f>'Weather Cases'!E41</f>
        <v>1</v>
      </c>
      <c r="C39" s="356" t="str">
        <f>IF(INDEX('Weather Cases'!$G$10:$G$94,MATCH(D39,'Weather Cases'!$H$10:$H$94,0),1)="H","YES","")</f>
        <v>YES</v>
      </c>
      <c r="D39" s="357" t="str">
        <f>'Weather Cases'!H41</f>
        <v>TI0050_A8</v>
      </c>
      <c r="E39" s="357" t="s">
        <v>433</v>
      </c>
      <c r="F39" s="360">
        <f t="shared" si="6"/>
        <v>0.7</v>
      </c>
      <c r="G39" s="357"/>
      <c r="H39" s="357"/>
      <c r="I39" s="357" t="str">
        <f>I31</f>
        <v>chukar_nz_acsr_ac_greased_04092013_l_downlead 6 degree creep.wir</v>
      </c>
    </row>
    <row r="40" spans="2:9" x14ac:dyDescent="0.2">
      <c r="B40" s="131" t="str">
        <f>IF(B39="-","-",B32)</f>
        <v>-</v>
      </c>
      <c r="C40" s="356" t="str">
        <f>IF(INDEX('Weather Cases'!$G$10:$G$94,MATCH(D40,'Weather Cases'!$H$10:$H$94,0),1)="H","YES","")</f>
        <v>YES</v>
      </c>
      <c r="D40" s="357" t="str">
        <f>D39</f>
        <v>TI0050_A8</v>
      </c>
      <c r="E40" s="357" t="s">
        <v>433</v>
      </c>
      <c r="F40" s="360">
        <f t="shared" si="6"/>
        <v>0.7</v>
      </c>
      <c r="G40" s="357"/>
      <c r="H40" s="357"/>
      <c r="I40" s="357" t="str">
        <f t="shared" si="2"/>
        <v>chukar_nz_acsr_ac_greased_04092013_l.wir</v>
      </c>
    </row>
    <row r="41" spans="2:9" x14ac:dyDescent="0.2">
      <c r="B41" s="131" t="str">
        <f t="shared" ref="B41:B46" si="9">IF(B40="-","-",B33)</f>
        <v>-</v>
      </c>
      <c r="C41" s="356" t="str">
        <f>IF(INDEX('Weather Cases'!$G$10:$G$94,MATCH(D41,'Weather Cases'!$H$10:$H$94,0),1)="H","YES","")</f>
        <v>YES</v>
      </c>
      <c r="D41" s="357" t="str">
        <f t="shared" ref="D41:D46" si="10">D40</f>
        <v>TI0050_A8</v>
      </c>
      <c r="E41" s="357" t="s">
        <v>433</v>
      </c>
      <c r="F41" s="360">
        <f t="shared" si="6"/>
        <v>0.7</v>
      </c>
      <c r="G41" s="357"/>
      <c r="H41" s="357"/>
      <c r="I41" s="357" t="str">
        <f t="shared" si="2"/>
        <v>zebra_acsr_gz_greased_pre1977_l.wir</v>
      </c>
    </row>
    <row r="42" spans="2:9" hidden="1" x14ac:dyDescent="0.2">
      <c r="B42" s="131" t="str">
        <f t="shared" si="9"/>
        <v>-</v>
      </c>
      <c r="C42" s="356" t="str">
        <f>IF(INDEX('Weather Cases'!$G$10:$G$94,MATCH(D42,'Weather Cases'!$H$10:$H$94,0),1)="H","YES","")</f>
        <v>YES</v>
      </c>
      <c r="D42" s="357" t="str">
        <f t="shared" si="10"/>
        <v>TI0050_A8</v>
      </c>
      <c r="E42" s="357" t="s">
        <v>433</v>
      </c>
      <c r="F42" s="360">
        <f t="shared" si="6"/>
        <v>0</v>
      </c>
      <c r="G42" s="357"/>
      <c r="H42" s="357"/>
      <c r="I42" s="357">
        <f t="shared" si="2"/>
        <v>0</v>
      </c>
    </row>
    <row r="43" spans="2:9" hidden="1" x14ac:dyDescent="0.2">
      <c r="B43" s="131" t="str">
        <f t="shared" si="9"/>
        <v>-</v>
      </c>
      <c r="C43" s="356" t="str">
        <f>IF(INDEX('Weather Cases'!$G$10:$G$94,MATCH(D43,'Weather Cases'!$H$10:$H$94,0),1)="H","YES","")</f>
        <v>YES</v>
      </c>
      <c r="D43" s="357" t="str">
        <f t="shared" si="10"/>
        <v>TI0050_A8</v>
      </c>
      <c r="E43" s="357" t="s">
        <v>433</v>
      </c>
      <c r="F43" s="360">
        <f t="shared" si="6"/>
        <v>0.7</v>
      </c>
      <c r="G43" s="357"/>
      <c r="H43" s="357"/>
      <c r="I43" s="357" t="str">
        <f t="shared" si="2"/>
        <v>7_3-05_scac_greased_l.wir</v>
      </c>
    </row>
    <row r="44" spans="2:9" hidden="1" x14ac:dyDescent="0.2">
      <c r="B44" s="131" t="str">
        <f t="shared" si="9"/>
        <v>-</v>
      </c>
      <c r="C44" s="356" t="str">
        <f>IF(INDEX('Weather Cases'!$G$10:$G$94,MATCH(D44,'Weather Cases'!$H$10:$H$94,0),1)="H","YES","")</f>
        <v>YES</v>
      </c>
      <c r="D44" s="357" t="str">
        <f t="shared" si="10"/>
        <v>TI0050_A8</v>
      </c>
      <c r="E44" s="357" t="s">
        <v>433</v>
      </c>
      <c r="F44" s="360">
        <f t="shared" si="6"/>
        <v>0</v>
      </c>
      <c r="G44" s="357"/>
      <c r="H44" s="357"/>
      <c r="I44" s="357">
        <f t="shared" si="2"/>
        <v>0</v>
      </c>
    </row>
    <row r="45" spans="2:9" hidden="1" x14ac:dyDescent="0.2">
      <c r="B45" s="131" t="str">
        <f t="shared" si="9"/>
        <v>-</v>
      </c>
      <c r="C45" s="356" t="str">
        <f>IF(INDEX('Weather Cases'!$G$10:$G$94,MATCH(D45,'Weather Cases'!$H$10:$H$94,0),1)="H","YES","")</f>
        <v>YES</v>
      </c>
      <c r="D45" s="357" t="str">
        <f t="shared" si="10"/>
        <v>TI0050_A8</v>
      </c>
      <c r="E45" s="357" t="s">
        <v>433</v>
      </c>
      <c r="F45" s="360">
        <f t="shared" si="6"/>
        <v>0</v>
      </c>
      <c r="G45" s="357"/>
      <c r="H45" s="357"/>
      <c r="I45" s="357">
        <f t="shared" si="2"/>
        <v>0</v>
      </c>
    </row>
    <row r="46" spans="2:9" hidden="1" x14ac:dyDescent="0.2">
      <c r="B46" s="131" t="str">
        <f t="shared" si="9"/>
        <v>-</v>
      </c>
      <c r="C46" s="356" t="str">
        <f>IF(INDEX('Weather Cases'!$G$10:$G$94,MATCH(D46,'Weather Cases'!$H$10:$H$94,0),1)="H","YES","")</f>
        <v>YES</v>
      </c>
      <c r="D46" s="357" t="str">
        <f t="shared" si="10"/>
        <v>TI0050_A8</v>
      </c>
      <c r="E46" s="357" t="s">
        <v>433</v>
      </c>
      <c r="F46" s="360">
        <f t="shared" si="6"/>
        <v>0</v>
      </c>
      <c r="G46" s="357"/>
      <c r="H46" s="357"/>
      <c r="I46" s="357">
        <f t="shared" si="2"/>
        <v>0</v>
      </c>
    </row>
    <row r="47" spans="2:9" x14ac:dyDescent="0.2">
      <c r="B47" s="131">
        <f>'Weather Cases'!E42</f>
        <v>1</v>
      </c>
      <c r="C47" s="356" t="str">
        <f>IF(INDEX('Weather Cases'!$G$10:$G$94,MATCH(D47,'Weather Cases'!$H$10:$H$94,0),1)="H","YES","")</f>
        <v>YES</v>
      </c>
      <c r="D47" s="357" t="str">
        <f>'Weather Cases'!H42</f>
        <v>EI0050_8</v>
      </c>
      <c r="E47" s="357" t="s">
        <v>433</v>
      </c>
      <c r="F47" s="360">
        <f>F39</f>
        <v>0.7</v>
      </c>
      <c r="G47" s="357"/>
      <c r="H47" s="357"/>
      <c r="I47" s="357" t="str">
        <f t="shared" si="2"/>
        <v>chukar_nz_acsr_ac_greased_04092013_l_downlead 6 degree creep.wir</v>
      </c>
    </row>
    <row r="48" spans="2:9" x14ac:dyDescent="0.2">
      <c r="B48" s="131" t="str">
        <f>IF(B47="-","-",B40)</f>
        <v>-</v>
      </c>
      <c r="C48" s="356" t="str">
        <f>IF(INDEX('Weather Cases'!$G$10:$G$94,MATCH(D48,'Weather Cases'!$H$10:$H$94,0),1)="H","YES","")</f>
        <v>YES</v>
      </c>
      <c r="D48" s="357" t="str">
        <f>D47</f>
        <v>EI0050_8</v>
      </c>
      <c r="E48" s="357" t="s">
        <v>433</v>
      </c>
      <c r="F48" s="360">
        <f t="shared" si="6"/>
        <v>0.7</v>
      </c>
      <c r="G48" s="357"/>
      <c r="H48" s="357"/>
      <c r="I48" s="357" t="str">
        <f t="shared" si="2"/>
        <v>chukar_nz_acsr_ac_greased_04092013_l.wir</v>
      </c>
    </row>
    <row r="49" spans="2:9" x14ac:dyDescent="0.2">
      <c r="B49" s="131" t="str">
        <f t="shared" ref="B49:B54" si="11">IF(B48="-","-",B41)</f>
        <v>-</v>
      </c>
      <c r="C49" s="356" t="str">
        <f>IF(INDEX('Weather Cases'!$G$10:$G$94,MATCH(D49,'Weather Cases'!$H$10:$H$94,0),1)="H","YES","")</f>
        <v>YES</v>
      </c>
      <c r="D49" s="357" t="str">
        <f t="shared" ref="D49:D54" si="12">D48</f>
        <v>EI0050_8</v>
      </c>
      <c r="E49" s="357" t="s">
        <v>433</v>
      </c>
      <c r="F49" s="360">
        <f t="shared" si="6"/>
        <v>0.7</v>
      </c>
      <c r="G49" s="357"/>
      <c r="H49" s="357"/>
      <c r="I49" s="357" t="str">
        <f t="shared" si="2"/>
        <v>zebra_acsr_gz_greased_pre1977_l.wir</v>
      </c>
    </row>
    <row r="50" spans="2:9" hidden="1" x14ac:dyDescent="0.2">
      <c r="B50" s="131" t="str">
        <f t="shared" si="11"/>
        <v>-</v>
      </c>
      <c r="C50" s="356" t="str">
        <f>IF(INDEX('Weather Cases'!$G$10:$G$94,MATCH(D50,'Weather Cases'!$H$10:$H$94,0),1)="H","YES","")</f>
        <v>YES</v>
      </c>
      <c r="D50" s="357" t="str">
        <f t="shared" si="12"/>
        <v>EI0050_8</v>
      </c>
      <c r="E50" s="357" t="s">
        <v>433</v>
      </c>
      <c r="F50" s="360">
        <f t="shared" si="6"/>
        <v>0</v>
      </c>
      <c r="G50" s="357"/>
      <c r="H50" s="357"/>
      <c r="I50" s="357">
        <f t="shared" si="2"/>
        <v>0</v>
      </c>
    </row>
    <row r="51" spans="2:9" hidden="1" x14ac:dyDescent="0.2">
      <c r="B51" s="131" t="str">
        <f t="shared" si="11"/>
        <v>-</v>
      </c>
      <c r="C51" s="356" t="str">
        <f>IF(INDEX('Weather Cases'!$G$10:$G$94,MATCH(D51,'Weather Cases'!$H$10:$H$94,0),1)="H","YES","")</f>
        <v>YES</v>
      </c>
      <c r="D51" s="357" t="str">
        <f t="shared" si="12"/>
        <v>EI0050_8</v>
      </c>
      <c r="E51" s="357" t="s">
        <v>433</v>
      </c>
      <c r="F51" s="360">
        <f t="shared" si="6"/>
        <v>0.7</v>
      </c>
      <c r="G51" s="357"/>
      <c r="H51" s="357"/>
      <c r="I51" s="357" t="str">
        <f t="shared" si="2"/>
        <v>7_3-05_scac_greased_l.wir</v>
      </c>
    </row>
    <row r="52" spans="2:9" hidden="1" x14ac:dyDescent="0.2">
      <c r="B52" s="131" t="str">
        <f t="shared" si="11"/>
        <v>-</v>
      </c>
      <c r="C52" s="356" t="str">
        <f>IF(INDEX('Weather Cases'!$G$10:$G$94,MATCH(D52,'Weather Cases'!$H$10:$H$94,0),1)="H","YES","")</f>
        <v>YES</v>
      </c>
      <c r="D52" s="357" t="str">
        <f t="shared" si="12"/>
        <v>EI0050_8</v>
      </c>
      <c r="E52" s="357" t="s">
        <v>433</v>
      </c>
      <c r="F52" s="360">
        <f t="shared" si="6"/>
        <v>0</v>
      </c>
      <c r="G52" s="357"/>
      <c r="H52" s="357"/>
      <c r="I52" s="357">
        <f t="shared" si="2"/>
        <v>0</v>
      </c>
    </row>
    <row r="53" spans="2:9" hidden="1" x14ac:dyDescent="0.2">
      <c r="B53" s="131" t="str">
        <f t="shared" si="11"/>
        <v>-</v>
      </c>
      <c r="C53" s="356" t="str">
        <f>IF(INDEX('Weather Cases'!$G$10:$G$94,MATCH(D53,'Weather Cases'!$H$10:$H$94,0),1)="H","YES","")</f>
        <v>YES</v>
      </c>
      <c r="D53" s="357" t="str">
        <f t="shared" si="12"/>
        <v>EI0050_8</v>
      </c>
      <c r="E53" s="357" t="s">
        <v>433</v>
      </c>
      <c r="F53" s="360">
        <f t="shared" si="6"/>
        <v>0</v>
      </c>
      <c r="G53" s="357"/>
      <c r="H53" s="357"/>
      <c r="I53" s="357">
        <f t="shared" si="2"/>
        <v>0</v>
      </c>
    </row>
    <row r="54" spans="2:9" hidden="1" x14ac:dyDescent="0.2">
      <c r="B54" s="131" t="str">
        <f t="shared" si="11"/>
        <v>-</v>
      </c>
      <c r="C54" s="356" t="str">
        <f>IF(INDEX('Weather Cases'!$G$10:$G$94,MATCH(D54,'Weather Cases'!$H$10:$H$94,0),1)="H","YES","")</f>
        <v>YES</v>
      </c>
      <c r="D54" s="357" t="str">
        <f t="shared" si="12"/>
        <v>EI0050_8</v>
      </c>
      <c r="E54" s="357" t="s">
        <v>433</v>
      </c>
      <c r="F54" s="360">
        <f t="shared" si="6"/>
        <v>0</v>
      </c>
      <c r="G54" s="357"/>
      <c r="H54" s="357"/>
      <c r="I54" s="357">
        <f t="shared" si="2"/>
        <v>0</v>
      </c>
    </row>
  </sheetData>
  <sheetProtection autoFilter="0"/>
  <autoFilter ref="B6:C54" xr:uid="{00000000-0009-0000-0000-000005000000}">
    <filterColumn colId="0">
      <filters>
        <filter val="1"/>
      </filters>
    </filterColumn>
  </autoFilter>
  <pageMargins left="0.70866141732283472" right="0.70866141732283472" top="0.74803149606299213" bottom="0.74803149606299213" header="0.31496062992125984" footer="0.31496062992125984"/>
  <pageSetup paperSize="9" scale="88" orientation="portrait" r:id="rId1"/>
  <headerFooter>
    <oddHeader>&amp;L&amp;G&amp;RPage &amp;P of &amp;N</oddHeader>
    <oddFooter>&amp;LAD-TE&amp;C&amp;F : &amp;A&amp;R&amp;D</oddFooter>
  </headerFooter>
  <legacyDrawingHF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filterMode="1">
    <pageSetUpPr fitToPage="1"/>
  </sheetPr>
  <dimension ref="A1:DG504"/>
  <sheetViews>
    <sheetView zoomScale="85" zoomScaleNormal="85" workbookViewId="0">
      <pane xSplit="24" ySplit="7" topLeftCell="CQ221" activePane="bottomRight" state="frozen"/>
      <selection pane="topRight" activeCell="C17" sqref="C17"/>
      <selection pane="bottomLeft" activeCell="C17" sqref="C17"/>
      <selection pane="bottomRight" activeCell="W69" sqref="W69:DD490"/>
    </sheetView>
  </sheetViews>
  <sheetFormatPr defaultColWidth="8.85546875" defaultRowHeight="12.75" x14ac:dyDescent="0.2"/>
  <cols>
    <col min="1" max="1" width="5.5703125" customWidth="1"/>
    <col min="2" max="2" width="7.140625" customWidth="1"/>
    <col min="3" max="4" width="7.7109375" customWidth="1"/>
    <col min="5" max="5" width="6.5703125" customWidth="1"/>
    <col min="6" max="7" width="6" customWidth="1"/>
    <col min="8" max="8" width="4.85546875" customWidth="1"/>
    <col min="9" max="9" width="6" customWidth="1"/>
    <col min="10" max="10" width="5.5703125" customWidth="1"/>
    <col min="11" max="20" width="4.28515625" customWidth="1"/>
    <col min="21" max="21" width="5.140625" customWidth="1"/>
    <col min="22" max="22" width="4.7109375" customWidth="1"/>
    <col min="23" max="23" width="22.28515625" customWidth="1"/>
    <col min="24" max="24" width="14.5703125" customWidth="1"/>
    <col min="25" max="25" width="11.85546875" customWidth="1"/>
    <col min="26" max="26" width="5.85546875" customWidth="1"/>
    <col min="27" max="27" width="5.7109375" customWidth="1"/>
    <col min="28" max="32" width="6.5703125" customWidth="1"/>
    <col min="33" max="33" width="14.28515625" customWidth="1"/>
    <col min="34" max="47" width="7.7109375" customWidth="1"/>
    <col min="48" max="48" width="20.7109375" customWidth="1"/>
    <col min="49" max="49" width="12.7109375" bestFit="1" customWidth="1"/>
    <col min="50" max="50" width="7.7109375" customWidth="1"/>
    <col min="52" max="52" width="24.42578125" customWidth="1"/>
    <col min="53" max="53" width="19.28515625" customWidth="1"/>
    <col min="54" max="54" width="3.85546875" bestFit="1" customWidth="1"/>
    <col min="55" max="55" width="14.28515625" customWidth="1"/>
    <col min="56" max="56" width="53.42578125" customWidth="1"/>
    <col min="57" max="57" width="3.7109375" customWidth="1"/>
    <col min="58" max="58" width="10.7109375" bestFit="1" customWidth="1"/>
    <col min="59" max="59" width="17.28515625" customWidth="1"/>
    <col min="60" max="60" width="3.7109375" customWidth="1"/>
    <col min="61" max="61" width="11.7109375" bestFit="1" customWidth="1"/>
    <col min="62" max="62" width="15.7109375" customWidth="1"/>
    <col min="63" max="63" width="6.7109375" customWidth="1"/>
    <col min="64" max="64" width="11.7109375" customWidth="1"/>
    <col min="65" max="65" width="10.7109375" bestFit="1" customWidth="1"/>
    <col min="66" max="66" width="6.7109375" customWidth="1"/>
    <col min="67" max="67" width="10.7109375" bestFit="1" customWidth="1"/>
    <col min="68" max="68" width="10.7109375" customWidth="1"/>
    <col min="69" max="69" width="6.7109375" customWidth="1"/>
    <col min="70" max="70" width="17.140625" customWidth="1"/>
    <col min="71" max="71" width="10.7109375" bestFit="1" customWidth="1"/>
    <col min="72" max="72" width="6.7109375" customWidth="1"/>
    <col min="73" max="73" width="17.140625" customWidth="1"/>
    <col min="74" max="74" width="10.7109375" bestFit="1" customWidth="1"/>
    <col min="75" max="75" width="6.7109375" customWidth="1"/>
    <col min="76" max="76" width="17.140625" customWidth="1"/>
    <col min="77" max="77" width="10.7109375" bestFit="1" customWidth="1"/>
    <col min="78" max="78" width="6.7109375" customWidth="1"/>
    <col min="79" max="79" width="17.140625" customWidth="1"/>
    <col min="80" max="80" width="10.7109375" bestFit="1" customWidth="1"/>
    <col min="81" max="81" width="6.7109375" customWidth="1"/>
    <col min="82" max="82" width="17.140625" bestFit="1" customWidth="1"/>
    <col min="83" max="83" width="10.7109375" bestFit="1" customWidth="1"/>
    <col min="84" max="84" width="6.7109375" customWidth="1"/>
    <col min="85" max="85" width="17.140625" bestFit="1" customWidth="1"/>
    <col min="86" max="86" width="10.7109375" bestFit="1" customWidth="1"/>
    <col min="87" max="87" width="6.7109375" customWidth="1"/>
    <col min="88" max="88" width="17.140625" customWidth="1"/>
    <col min="89" max="89" width="10.7109375" bestFit="1" customWidth="1"/>
    <col min="90" max="90" width="6.7109375" customWidth="1"/>
    <col min="91" max="91" width="17.140625" customWidth="1"/>
    <col min="92" max="92" width="10.7109375" customWidth="1"/>
    <col min="93" max="93" width="6.7109375" customWidth="1"/>
    <col min="94" max="94" width="11.7109375" customWidth="1"/>
    <col min="95" max="95" width="10.7109375" bestFit="1" customWidth="1"/>
    <col min="96" max="96" width="6.7109375" customWidth="1"/>
    <col min="97" max="97" width="17.140625" customWidth="1"/>
    <col min="98" max="98" width="10.7109375" bestFit="1" customWidth="1"/>
    <col min="99" max="99" width="6.7109375" customWidth="1"/>
    <col min="100" max="100" width="11.7109375" customWidth="1"/>
    <col min="101" max="101" width="10.7109375" bestFit="1" customWidth="1"/>
    <col min="102" max="102" width="6.7109375" customWidth="1"/>
    <col min="103" max="103" width="17.140625" bestFit="1" customWidth="1"/>
    <col min="104" max="104" width="10.7109375" bestFit="1" customWidth="1"/>
    <col min="105" max="105" width="6.7109375" customWidth="1"/>
    <col min="106" max="106" width="11.7109375" bestFit="1" customWidth="1"/>
    <col min="107" max="107" width="10.7109375" bestFit="1" customWidth="1"/>
    <col min="108" max="108" width="6.7109375" customWidth="1"/>
  </cols>
  <sheetData>
    <row r="1" spans="1:111" ht="23.25" x14ac:dyDescent="0.35">
      <c r="A1" s="193" t="s">
        <v>434</v>
      </c>
      <c r="B1" s="193"/>
      <c r="C1" s="193"/>
      <c r="D1" s="193"/>
      <c r="E1" s="193"/>
      <c r="F1" s="193"/>
      <c r="G1" s="193"/>
      <c r="H1" s="533"/>
      <c r="I1" s="534"/>
      <c r="J1" s="534"/>
      <c r="K1" s="534"/>
      <c r="L1" s="190"/>
      <c r="M1" s="190"/>
      <c r="N1" s="190"/>
      <c r="O1" s="190"/>
      <c r="P1" s="190"/>
      <c r="Q1" s="190"/>
      <c r="R1" s="190"/>
      <c r="S1" s="190"/>
      <c r="T1" s="190"/>
      <c r="U1" s="190"/>
      <c r="V1" s="190"/>
      <c r="W1" s="193" t="str">
        <f>Control!$B$4&amp;" "&amp;Control!$D$4&amp;" Rev "&amp;Control!$H$4</f>
        <v>GIP_Standard T1-T3 Rev A</v>
      </c>
      <c r="X1" s="534"/>
      <c r="Y1" s="534"/>
      <c r="Z1" s="534"/>
      <c r="AA1" s="534"/>
      <c r="AB1" s="534"/>
      <c r="AC1" s="534"/>
      <c r="AD1" s="534"/>
      <c r="AE1" s="534"/>
      <c r="AF1" s="534"/>
      <c r="AG1" s="534"/>
      <c r="AH1" s="534"/>
      <c r="AI1" s="534"/>
      <c r="AJ1" s="534"/>
      <c r="AK1" s="534"/>
      <c r="AL1" s="534"/>
      <c r="AM1" s="2" t="str">
        <f>Control!$B$3</f>
        <v>PLS-CADD WC &amp; LC Generator Master Rev H.xlsx</v>
      </c>
      <c r="AN1" s="534"/>
      <c r="AO1" s="534"/>
      <c r="AP1" s="534"/>
      <c r="AQ1" s="534"/>
      <c r="AR1" s="534"/>
      <c r="AS1" s="534"/>
      <c r="AX1" s="534"/>
      <c r="AY1" s="534"/>
      <c r="AZ1" s="534"/>
      <c r="BA1" s="534"/>
      <c r="BB1" s="533"/>
      <c r="BC1" s="534"/>
      <c r="BD1" s="533"/>
      <c r="BE1" s="534"/>
      <c r="BF1" s="534"/>
      <c r="BG1" s="534"/>
      <c r="BH1" s="534"/>
      <c r="BI1" s="534"/>
      <c r="BJ1" s="534"/>
      <c r="BK1" s="534"/>
      <c r="BL1" s="534"/>
      <c r="BM1" s="534"/>
      <c r="BN1" s="534"/>
      <c r="BO1" s="534"/>
      <c r="BP1" s="534"/>
      <c r="BQ1" s="534"/>
      <c r="BR1" s="534"/>
      <c r="BS1" s="534"/>
      <c r="BT1" s="534"/>
      <c r="BU1" s="534"/>
      <c r="BV1" s="534"/>
      <c r="BW1" s="534"/>
      <c r="BX1" s="534"/>
      <c r="BY1" s="534"/>
      <c r="BZ1" s="534"/>
      <c r="CA1" s="534"/>
      <c r="CB1" s="534"/>
      <c r="CC1" s="534"/>
      <c r="CD1" s="534"/>
      <c r="CE1" s="534"/>
      <c r="CF1" s="534"/>
      <c r="CG1" s="534"/>
      <c r="CH1" s="534"/>
      <c r="CI1" s="534"/>
      <c r="CJ1" s="534"/>
      <c r="CK1" s="534"/>
      <c r="CL1" s="534"/>
      <c r="CM1" s="534"/>
      <c r="CN1" s="534"/>
      <c r="CO1" s="534"/>
      <c r="CP1" s="534"/>
      <c r="CQ1" s="534"/>
      <c r="CR1" s="534"/>
      <c r="CS1" s="534"/>
      <c r="CT1" s="534"/>
      <c r="CU1" s="534"/>
      <c r="CV1" s="534"/>
      <c r="CW1" s="534"/>
      <c r="CX1" s="534"/>
      <c r="CY1" s="534"/>
      <c r="CZ1" s="534"/>
      <c r="DA1" s="534"/>
      <c r="DB1" s="534"/>
      <c r="DC1" s="534"/>
      <c r="DD1" s="534"/>
      <c r="DE1" s="534"/>
      <c r="DF1" s="534"/>
      <c r="DG1" s="534"/>
    </row>
    <row r="2" spans="1:111" ht="23.25" x14ac:dyDescent="0.35">
      <c r="A2" s="598" t="s">
        <v>435</v>
      </c>
      <c r="B2" s="598"/>
      <c r="C2" s="598"/>
      <c r="D2" s="598"/>
      <c r="E2" s="598"/>
      <c r="F2" s="598"/>
      <c r="G2" s="598"/>
      <c r="H2" s="599" t="s">
        <v>436</v>
      </c>
      <c r="I2" s="599"/>
      <c r="J2" s="534"/>
      <c r="K2" s="534"/>
      <c r="L2" s="192"/>
      <c r="M2" s="190"/>
      <c r="N2" s="190"/>
      <c r="O2" s="190"/>
      <c r="P2" s="190"/>
      <c r="Q2" s="190"/>
      <c r="R2" s="190"/>
      <c r="S2" s="190"/>
      <c r="T2" s="190"/>
      <c r="U2" s="190"/>
      <c r="V2" s="190"/>
      <c r="W2" s="193" t="s">
        <v>434</v>
      </c>
      <c r="X2" s="534"/>
      <c r="Y2" s="534"/>
      <c r="Z2" s="534"/>
      <c r="AA2" s="534"/>
      <c r="AB2" s="534"/>
      <c r="AC2" s="534"/>
      <c r="AD2" s="534"/>
      <c r="AE2" s="278" t="s">
        <v>123</v>
      </c>
      <c r="AF2" s="534"/>
      <c r="AG2" s="534"/>
      <c r="AH2" s="278" t="s">
        <v>141</v>
      </c>
      <c r="AI2" s="534"/>
      <c r="AJ2" s="534"/>
      <c r="AK2" s="534"/>
      <c r="AL2" s="534"/>
      <c r="AM2" s="534"/>
      <c r="AN2" s="534"/>
      <c r="AO2" s="534"/>
      <c r="AP2" s="534"/>
      <c r="AQ2" s="534"/>
      <c r="AR2" s="534"/>
      <c r="AS2" s="534"/>
      <c r="AT2" s="535" t="s">
        <v>437</v>
      </c>
      <c r="AU2" s="535"/>
      <c r="AV2" s="211" t="str">
        <f>Control!D26</f>
        <v>N</v>
      </c>
      <c r="AW2" s="536" t="s">
        <v>438</v>
      </c>
      <c r="AX2" s="534"/>
      <c r="AY2" s="534"/>
      <c r="BE2" s="534"/>
      <c r="BF2" s="534"/>
      <c r="BG2" s="534"/>
      <c r="BH2" s="534"/>
      <c r="BI2" s="534"/>
      <c r="BJ2" s="534"/>
      <c r="BK2" s="534"/>
      <c r="BL2" s="534"/>
      <c r="BM2" s="534"/>
      <c r="BN2" s="534"/>
      <c r="BO2" s="534"/>
      <c r="BP2" s="534"/>
      <c r="BQ2" s="534"/>
      <c r="BR2" s="534"/>
      <c r="BS2" s="534"/>
      <c r="BT2" s="534"/>
      <c r="BU2" s="534"/>
      <c r="BV2" s="534"/>
      <c r="BW2" s="534"/>
      <c r="BX2" s="534"/>
      <c r="BY2" s="534"/>
      <c r="BZ2" s="534"/>
      <c r="CA2" s="534"/>
      <c r="CB2" s="534"/>
      <c r="CC2" s="534"/>
      <c r="CD2" s="534"/>
      <c r="CE2" s="534"/>
      <c r="CF2" s="534"/>
      <c r="CG2" s="534"/>
      <c r="CH2" s="534"/>
      <c r="CI2" s="534"/>
      <c r="CJ2" s="534"/>
      <c r="CK2" s="534"/>
      <c r="CL2" s="534"/>
      <c r="CM2" s="534"/>
      <c r="CN2" s="534"/>
      <c r="CO2" s="534"/>
      <c r="CP2" s="534"/>
      <c r="CQ2" s="534"/>
      <c r="CR2" s="534"/>
      <c r="CS2" s="534"/>
      <c r="CT2" s="534"/>
      <c r="CU2" s="534"/>
      <c r="CV2" s="534"/>
      <c r="CW2" s="534"/>
      <c r="CX2" s="534"/>
      <c r="CY2" s="534"/>
      <c r="CZ2" s="534"/>
      <c r="DA2" s="534"/>
      <c r="DB2" s="534"/>
      <c r="DC2" s="534"/>
      <c r="DD2" s="534"/>
      <c r="DE2" s="534"/>
      <c r="DF2" s="534"/>
      <c r="DG2" s="534"/>
    </row>
    <row r="3" spans="1:111" ht="15" x14ac:dyDescent="0.25">
      <c r="A3" s="525" t="str">
        <f>Control!$B$3</f>
        <v>PLS-CADD WC &amp; LC Generator Master Rev H.xlsx</v>
      </c>
      <c r="C3" s="191"/>
      <c r="D3" s="534"/>
      <c r="E3" s="533"/>
      <c r="F3" s="533"/>
      <c r="G3" s="533"/>
      <c r="H3" s="533"/>
      <c r="I3" s="3" t="s">
        <v>439</v>
      </c>
      <c r="J3" s="534"/>
      <c r="K3" s="534"/>
      <c r="L3" s="190"/>
      <c r="M3" s="190"/>
      <c r="N3" s="190"/>
      <c r="O3" s="190"/>
      <c r="P3" s="190"/>
      <c r="Q3" s="190"/>
      <c r="R3" s="190"/>
      <c r="S3" s="190"/>
      <c r="T3" s="190"/>
      <c r="U3" s="190"/>
      <c r="V3" s="190"/>
      <c r="W3" s="190"/>
      <c r="X3" s="534"/>
      <c r="Y3" s="534"/>
      <c r="Z3" s="534"/>
      <c r="AA3" s="534"/>
      <c r="AB3" s="534"/>
      <c r="AC3" s="534"/>
      <c r="AD3" s="534"/>
      <c r="AE3" s="278" t="s">
        <v>137</v>
      </c>
      <c r="AF3" s="534"/>
      <c r="AG3" s="534"/>
      <c r="AH3" s="278" t="s">
        <v>143</v>
      </c>
      <c r="AI3" s="534"/>
      <c r="AJ3" s="534"/>
      <c r="AK3" s="534"/>
      <c r="AL3" s="534"/>
      <c r="AM3" s="534"/>
      <c r="AN3" s="534"/>
      <c r="AO3" s="534"/>
      <c r="AP3" s="534"/>
      <c r="AQ3" s="534"/>
      <c r="AR3" s="534"/>
      <c r="AS3" s="534"/>
      <c r="AT3" s="534"/>
      <c r="AU3" s="534"/>
      <c r="AV3" s="534"/>
      <c r="AW3" s="534"/>
      <c r="AX3" s="534"/>
      <c r="AY3" s="534"/>
      <c r="BE3" s="534"/>
      <c r="BF3" s="534"/>
      <c r="BG3" s="534"/>
      <c r="BH3" s="534"/>
      <c r="BI3" s="534"/>
      <c r="BJ3" s="534"/>
      <c r="BK3" s="534"/>
      <c r="BL3" s="534"/>
      <c r="BM3" s="534"/>
      <c r="BN3" s="534"/>
      <c r="BO3" s="534"/>
      <c r="BP3" s="534"/>
      <c r="BQ3" s="534"/>
      <c r="BR3" s="534"/>
      <c r="BS3" s="534"/>
      <c r="BT3" s="534"/>
      <c r="BU3" s="534"/>
      <c r="BV3" s="534"/>
      <c r="BW3" s="534"/>
      <c r="BX3" s="534"/>
      <c r="BY3" s="534"/>
      <c r="BZ3" s="534"/>
      <c r="CA3" s="534"/>
      <c r="CB3" s="534"/>
      <c r="CC3" s="534"/>
      <c r="CD3" s="534"/>
      <c r="CE3" s="534"/>
      <c r="CF3" s="534"/>
      <c r="CG3" s="534"/>
      <c r="CH3" s="534"/>
      <c r="CI3" s="534"/>
      <c r="CJ3" s="534"/>
      <c r="CK3" s="534"/>
      <c r="CL3" s="534"/>
      <c r="CM3" s="534"/>
      <c r="CN3" s="534"/>
      <c r="CO3" s="534"/>
      <c r="CP3" s="534"/>
      <c r="CQ3" s="534"/>
      <c r="CR3" s="534"/>
      <c r="CS3" s="534"/>
      <c r="CT3" s="534"/>
      <c r="CU3" s="534"/>
      <c r="CV3" s="534"/>
      <c r="CW3" s="534"/>
      <c r="CX3" s="534"/>
      <c r="CY3" s="534"/>
      <c r="CZ3" s="534"/>
      <c r="DA3" s="534"/>
      <c r="DB3" s="534"/>
      <c r="DC3" s="534"/>
      <c r="DD3" s="534"/>
      <c r="DE3" s="534"/>
      <c r="DF3" s="534"/>
      <c r="DG3" s="534"/>
    </row>
    <row r="4" spans="1:111" ht="15.75" x14ac:dyDescent="0.25">
      <c r="A4" s="499" t="s">
        <v>440</v>
      </c>
      <c r="C4" s="533"/>
      <c r="D4" s="533"/>
      <c r="E4" s="533"/>
      <c r="F4" s="533"/>
      <c r="G4" s="533"/>
      <c r="H4" s="533"/>
      <c r="I4" s="498" t="str">
        <f>IF(Control!D5="Y","NOTE PLS-CADD EMPLOYS A DEFAULT OF 1 DEG INTERVAL FOR 'Max' WIND DIRN -  10 DEG PROVIDES ACCEPTABLE RESULTS","")</f>
        <v/>
      </c>
      <c r="K4" s="534"/>
      <c r="L4" s="190"/>
      <c r="M4" s="190"/>
      <c r="N4" s="190"/>
      <c r="O4" s="190"/>
      <c r="P4" s="190"/>
      <c r="Q4" s="190"/>
      <c r="R4" s="190"/>
      <c r="S4" s="190"/>
      <c r="T4" s="190"/>
      <c r="U4" s="190"/>
      <c r="V4" s="190"/>
      <c r="W4" s="190"/>
      <c r="X4" s="534"/>
      <c r="Y4" s="534"/>
      <c r="Z4" s="534"/>
      <c r="AA4" s="534"/>
      <c r="AB4" s="534"/>
      <c r="AC4" s="534"/>
      <c r="AD4" s="534"/>
      <c r="AE4" s="278" t="s">
        <v>139</v>
      </c>
      <c r="AF4" s="534"/>
      <c r="AG4" s="534"/>
      <c r="AH4" s="328" t="s">
        <v>149</v>
      </c>
      <c r="AI4" s="534"/>
      <c r="AJ4" s="534"/>
      <c r="AP4" s="534"/>
      <c r="AQ4" s="534"/>
      <c r="AR4" s="534"/>
      <c r="AS4" s="534"/>
      <c r="AT4" s="534"/>
      <c r="AU4" s="534"/>
      <c r="AV4" s="533"/>
      <c r="AW4" s="537"/>
      <c r="AX4" s="538"/>
      <c r="AY4" s="534"/>
      <c r="AZ4" s="534"/>
      <c r="BA4" s="534"/>
      <c r="BB4" s="533"/>
      <c r="BC4" s="534"/>
      <c r="BD4" s="533"/>
      <c r="BE4" s="534"/>
      <c r="BF4" s="534"/>
      <c r="BG4" s="534"/>
      <c r="BH4" s="534"/>
      <c r="BI4" s="534"/>
      <c r="BJ4" s="534"/>
      <c r="BK4" s="534"/>
      <c r="BL4" s="534"/>
      <c r="BM4" s="534"/>
      <c r="BN4" s="534"/>
      <c r="BO4" s="534"/>
      <c r="BP4" s="534"/>
      <c r="BQ4" s="534"/>
      <c r="BR4" s="534"/>
      <c r="BS4" s="534"/>
      <c r="BT4" s="534"/>
      <c r="BU4" s="534"/>
      <c r="BV4" s="534"/>
      <c r="BW4" s="534"/>
      <c r="BX4" s="534"/>
      <c r="BY4" s="534"/>
      <c r="BZ4" s="534"/>
      <c r="CA4" s="534"/>
      <c r="CB4" s="534"/>
      <c r="CC4" s="534"/>
      <c r="CD4" s="534" t="s">
        <v>441</v>
      </c>
      <c r="CE4" s="534"/>
      <c r="CF4" s="534"/>
      <c r="CG4" s="534"/>
      <c r="CH4" s="534"/>
      <c r="CI4" s="534"/>
      <c r="CJ4" s="534"/>
      <c r="CK4" s="534"/>
      <c r="CL4" s="534"/>
      <c r="CM4" s="534"/>
      <c r="CN4" s="534"/>
      <c r="CO4" s="534"/>
      <c r="CP4" s="534"/>
      <c r="CQ4" s="534"/>
      <c r="CR4" s="534"/>
      <c r="CS4" s="534"/>
      <c r="CT4" s="534"/>
      <c r="CU4" s="534"/>
      <c r="CV4" s="534"/>
      <c r="CW4" s="534"/>
      <c r="CX4" s="534"/>
      <c r="CY4" s="534"/>
      <c r="CZ4" s="534"/>
      <c r="DA4" s="534"/>
      <c r="DB4" s="534"/>
      <c r="DC4" s="534"/>
      <c r="DD4" s="534"/>
      <c r="DE4" s="534"/>
      <c r="DF4" s="534"/>
      <c r="DG4" s="534"/>
    </row>
    <row r="5" spans="1:111" ht="15" x14ac:dyDescent="0.25">
      <c r="A5" s="533"/>
      <c r="B5" s="512">
        <f>Control!D22</f>
        <v>800</v>
      </c>
      <c r="C5" s="513" t="str">
        <f>LEFT(Control!$D$22,LEN(Control!$D$22)-2)</f>
        <v>8</v>
      </c>
      <c r="D5" s="277" t="s">
        <v>442</v>
      </c>
      <c r="E5" s="533"/>
      <c r="F5" s="533"/>
      <c r="G5" s="533"/>
      <c r="I5" s="257" t="s">
        <v>443</v>
      </c>
      <c r="J5" s="258"/>
      <c r="K5" s="258"/>
      <c r="L5" s="258"/>
      <c r="M5" s="258"/>
      <c r="N5" s="258"/>
      <c r="O5" s="258"/>
      <c r="P5" s="258"/>
      <c r="Q5" s="258"/>
      <c r="R5" s="258"/>
      <c r="S5" s="258"/>
      <c r="T5" s="258"/>
      <c r="U5" s="258"/>
      <c r="V5" s="521"/>
      <c r="W5" s="190"/>
      <c r="X5" s="534"/>
      <c r="Y5" s="534"/>
      <c r="Z5" s="534"/>
      <c r="AA5" s="534"/>
      <c r="AB5" s="534"/>
      <c r="AC5" s="534"/>
      <c r="AD5" s="534"/>
      <c r="AE5" s="534"/>
      <c r="AF5" s="534"/>
      <c r="AG5" s="534"/>
      <c r="AH5" s="534"/>
      <c r="AI5" s="534"/>
      <c r="AJ5" s="534"/>
      <c r="AP5" s="534"/>
      <c r="AQ5" s="534"/>
      <c r="AR5" s="534"/>
      <c r="AS5" s="534"/>
      <c r="AT5" s="534"/>
      <c r="AU5" s="534"/>
      <c r="AV5" s="539"/>
      <c r="AW5" s="537"/>
      <c r="AX5" s="538"/>
      <c r="AY5" s="534"/>
      <c r="AZ5" s="534"/>
      <c r="BA5" s="534"/>
      <c r="BB5" s="533"/>
      <c r="BC5" s="534"/>
      <c r="BD5" s="533"/>
      <c r="BE5" s="534"/>
      <c r="BF5" s="534"/>
      <c r="BG5" s="534"/>
      <c r="BH5" s="534"/>
      <c r="BI5" s="534"/>
      <c r="BJ5" s="534"/>
      <c r="BK5" s="534"/>
      <c r="BL5" s="534"/>
      <c r="BM5" s="534"/>
      <c r="BN5" s="534"/>
      <c r="BO5" s="534"/>
      <c r="BP5" s="534"/>
      <c r="BQ5" s="534"/>
      <c r="BR5" s="534"/>
      <c r="BS5" s="534"/>
      <c r="BT5" s="534"/>
      <c r="BU5" s="534"/>
      <c r="BV5" s="534"/>
      <c r="BW5" s="534"/>
      <c r="BX5" s="534"/>
      <c r="BY5" s="534"/>
      <c r="BZ5" s="534"/>
      <c r="CA5" s="534"/>
      <c r="CB5" s="534"/>
      <c r="CC5" s="534"/>
      <c r="CD5" s="534"/>
      <c r="CE5" s="534"/>
      <c r="CF5" s="534"/>
      <c r="CG5" s="534"/>
      <c r="CH5" s="534"/>
      <c r="CI5" s="534"/>
      <c r="CJ5" s="534"/>
      <c r="CK5" s="534"/>
      <c r="CL5" s="534"/>
      <c r="CM5" s="534"/>
      <c r="CN5" s="534"/>
      <c r="CO5" s="534"/>
      <c r="CP5" s="534"/>
      <c r="CQ5" s="534"/>
      <c r="CR5" s="534"/>
      <c r="CS5" s="534"/>
      <c r="CT5" s="534"/>
      <c r="CU5" s="534"/>
      <c r="CV5" s="534"/>
      <c r="CW5" s="534"/>
      <c r="CX5" s="534"/>
      <c r="CY5" s="534"/>
      <c r="CZ5" s="534"/>
      <c r="DA5" s="534"/>
      <c r="DB5" s="534"/>
      <c r="DC5" s="534"/>
      <c r="DD5" s="534"/>
      <c r="DE5" s="534"/>
      <c r="DF5" s="534"/>
      <c r="DG5" s="534"/>
    </row>
    <row r="6" spans="1:111" ht="24" thickBot="1" x14ac:dyDescent="0.4">
      <c r="A6" s="195" t="s">
        <v>444</v>
      </c>
      <c r="B6" s="208"/>
      <c r="C6" s="208"/>
      <c r="D6" s="208"/>
      <c r="E6" s="208"/>
      <c r="F6" s="208"/>
      <c r="G6" s="208"/>
      <c r="H6" s="195"/>
      <c r="I6" s="195" t="s">
        <v>445</v>
      </c>
      <c r="J6" s="286"/>
      <c r="K6" s="540"/>
      <c r="L6" s="287"/>
      <c r="M6" s="287"/>
      <c r="N6" s="287"/>
      <c r="O6" s="287"/>
      <c r="P6" s="287"/>
      <c r="Q6" s="287"/>
      <c r="R6" s="287"/>
      <c r="S6" s="287"/>
      <c r="T6" s="287"/>
      <c r="U6" s="287"/>
      <c r="V6" s="288"/>
      <c r="W6" s="242" t="s">
        <v>446</v>
      </c>
      <c r="X6" s="541"/>
      <c r="Y6" s="541"/>
      <c r="Z6" s="541"/>
      <c r="AA6" s="541"/>
      <c r="AB6" s="541"/>
      <c r="AC6" s="541"/>
      <c r="AD6" s="541"/>
      <c r="AE6" s="541"/>
      <c r="AF6" s="541"/>
      <c r="AG6" s="541"/>
      <c r="AH6" s="541"/>
      <c r="AI6" s="541"/>
      <c r="AJ6" s="541"/>
      <c r="AK6" s="541"/>
      <c r="AL6" s="541"/>
      <c r="AM6" s="542"/>
      <c r="AN6" s="243"/>
      <c r="AO6" s="244"/>
      <c r="AP6" s="541"/>
      <c r="AQ6" s="541"/>
      <c r="AR6" s="541"/>
      <c r="AS6" s="541"/>
      <c r="AT6" s="541"/>
      <c r="AU6" s="541"/>
      <c r="AV6" s="543"/>
      <c r="AW6" s="542"/>
      <c r="AX6" s="542"/>
      <c r="AY6" s="541"/>
      <c r="AZ6" s="541"/>
      <c r="BA6" s="541"/>
      <c r="BB6" s="541"/>
      <c r="BC6" s="541"/>
      <c r="BD6" s="541"/>
      <c r="BE6" s="541"/>
      <c r="BF6" s="541"/>
      <c r="BG6" s="541"/>
      <c r="BH6" s="541"/>
      <c r="BI6" s="541"/>
      <c r="BJ6" s="541"/>
      <c r="BK6" s="541"/>
      <c r="BL6" s="541"/>
      <c r="BM6" s="541"/>
      <c r="BN6" s="541"/>
      <c r="BO6" s="541"/>
      <c r="BP6" s="541"/>
      <c r="BQ6" s="541"/>
      <c r="BR6" s="541"/>
      <c r="BS6" s="541"/>
      <c r="BT6" s="541"/>
      <c r="BU6" s="541"/>
      <c r="BV6" s="541"/>
      <c r="BW6" s="541"/>
      <c r="BX6" s="541"/>
      <c r="BY6" s="541"/>
      <c r="BZ6" s="541"/>
      <c r="CA6" s="541"/>
      <c r="CB6" s="541"/>
      <c r="CC6" s="541"/>
      <c r="CD6" s="544"/>
      <c r="CE6" s="544"/>
      <c r="CF6" s="544"/>
      <c r="CG6" s="544"/>
      <c r="CH6" s="544"/>
      <c r="CI6" s="544"/>
      <c r="CJ6" s="544"/>
      <c r="CK6" s="544"/>
      <c r="CL6" s="544"/>
      <c r="CM6" s="544"/>
      <c r="CN6" s="544"/>
      <c r="CO6" s="544"/>
      <c r="CP6" s="544"/>
      <c r="CQ6" s="544"/>
      <c r="CR6" s="544"/>
      <c r="CS6" s="544"/>
      <c r="CT6" s="544"/>
      <c r="CU6" s="544"/>
      <c r="CV6" s="544"/>
      <c r="CW6" s="544"/>
      <c r="CX6" s="544"/>
      <c r="CY6" s="544"/>
      <c r="CZ6" s="544"/>
      <c r="DA6" s="544"/>
      <c r="DB6" s="544"/>
      <c r="DC6" s="544"/>
      <c r="DD6" s="545"/>
      <c r="DE6" s="600" t="s">
        <v>447</v>
      </c>
      <c r="DF6" s="601"/>
      <c r="DG6" s="601"/>
    </row>
    <row r="7" spans="1:111" s="241" customFormat="1" ht="114" customHeight="1" x14ac:dyDescent="0.2">
      <c r="A7" s="546" t="s">
        <v>448</v>
      </c>
      <c r="B7" s="522" t="s">
        <v>449</v>
      </c>
      <c r="C7" s="522" t="s">
        <v>450</v>
      </c>
      <c r="D7" s="522" t="s">
        <v>451</v>
      </c>
      <c r="E7" s="522" t="s">
        <v>452</v>
      </c>
      <c r="F7" s="522" t="s">
        <v>453</v>
      </c>
      <c r="G7" s="522" t="s">
        <v>454</v>
      </c>
      <c r="H7" s="546" t="s">
        <v>455</v>
      </c>
      <c r="I7" s="523" t="s">
        <v>456</v>
      </c>
      <c r="J7" s="523" t="s">
        <v>457</v>
      </c>
      <c r="K7" s="523" t="s">
        <v>458</v>
      </c>
      <c r="L7" s="523" t="s">
        <v>459</v>
      </c>
      <c r="M7" s="547" t="s">
        <v>460</v>
      </c>
      <c r="N7" s="547" t="s">
        <v>461</v>
      </c>
      <c r="O7" s="547" t="s">
        <v>462</v>
      </c>
      <c r="P7" s="524" t="s">
        <v>463</v>
      </c>
      <c r="Q7" s="524" t="s">
        <v>464</v>
      </c>
      <c r="R7" s="524" t="s">
        <v>465</v>
      </c>
      <c r="S7" s="524" t="s">
        <v>466</v>
      </c>
      <c r="T7" s="524" t="s">
        <v>467</v>
      </c>
      <c r="U7" s="523" t="s">
        <v>468</v>
      </c>
      <c r="V7" s="548" t="s">
        <v>469</v>
      </c>
      <c r="W7" s="245" t="s">
        <v>283</v>
      </c>
      <c r="X7" s="245" t="s">
        <v>470</v>
      </c>
      <c r="Y7" s="520" t="s">
        <v>471</v>
      </c>
      <c r="Z7" s="520" t="s">
        <v>472</v>
      </c>
      <c r="AA7" s="520" t="s">
        <v>473</v>
      </c>
      <c r="AB7" s="520" t="s">
        <v>474</v>
      </c>
      <c r="AC7" s="520" t="s">
        <v>475</v>
      </c>
      <c r="AD7" s="520" t="s">
        <v>476</v>
      </c>
      <c r="AE7" s="520" t="s">
        <v>477</v>
      </c>
      <c r="AF7" s="520" t="s">
        <v>478</v>
      </c>
      <c r="AG7" s="245" t="s">
        <v>479</v>
      </c>
      <c r="AH7" s="246" t="s">
        <v>480</v>
      </c>
      <c r="AI7" s="246" t="s">
        <v>481</v>
      </c>
      <c r="AJ7" s="246" t="s">
        <v>482</v>
      </c>
      <c r="AK7" s="246" t="s">
        <v>483</v>
      </c>
      <c r="AL7" s="246" t="s">
        <v>484</v>
      </c>
      <c r="AM7" s="246" t="s">
        <v>485</v>
      </c>
      <c r="AN7" s="246" t="s">
        <v>486</v>
      </c>
      <c r="AO7" s="246" t="s">
        <v>487</v>
      </c>
      <c r="AP7" s="246" t="s">
        <v>488</v>
      </c>
      <c r="AQ7" s="246" t="s">
        <v>489</v>
      </c>
      <c r="AR7" s="246" t="s">
        <v>490</v>
      </c>
      <c r="AS7" s="246" t="s">
        <v>491</v>
      </c>
      <c r="AT7" s="246" t="s">
        <v>492</v>
      </c>
      <c r="AU7" s="246" t="s">
        <v>1135</v>
      </c>
      <c r="AV7" s="246" t="s">
        <v>493</v>
      </c>
      <c r="AW7" s="246" t="s">
        <v>494</v>
      </c>
      <c r="AX7" s="246" t="s">
        <v>495</v>
      </c>
      <c r="AY7" s="246" t="s">
        <v>496</v>
      </c>
      <c r="AZ7" s="246" t="s">
        <v>497</v>
      </c>
      <c r="BA7" s="246" t="s">
        <v>498</v>
      </c>
      <c r="BB7" s="246" t="s">
        <v>499</v>
      </c>
      <c r="BC7" s="246" t="s">
        <v>500</v>
      </c>
      <c r="BD7" s="246" t="s">
        <v>501</v>
      </c>
      <c r="BE7" s="246" t="s">
        <v>502</v>
      </c>
      <c r="BF7" s="246" t="s">
        <v>503</v>
      </c>
      <c r="BG7" s="246" t="s">
        <v>504</v>
      </c>
      <c r="BH7" s="246" t="s">
        <v>505</v>
      </c>
      <c r="BI7" s="246" t="s">
        <v>506</v>
      </c>
      <c r="BJ7" s="246" t="s">
        <v>507</v>
      </c>
      <c r="BK7" s="246" t="s">
        <v>508</v>
      </c>
      <c r="BL7" s="246" t="s">
        <v>509</v>
      </c>
      <c r="BM7" s="246" t="s">
        <v>510</v>
      </c>
      <c r="BN7" s="246" t="s">
        <v>511</v>
      </c>
      <c r="BO7" s="246" t="s">
        <v>512</v>
      </c>
      <c r="BP7" s="246" t="s">
        <v>513</v>
      </c>
      <c r="BQ7" s="246" t="s">
        <v>514</v>
      </c>
      <c r="BR7" s="246" t="s">
        <v>515</v>
      </c>
      <c r="BS7" s="246" t="s">
        <v>516</v>
      </c>
      <c r="BT7" s="246" t="s">
        <v>517</v>
      </c>
      <c r="BU7" s="246" t="s">
        <v>518</v>
      </c>
      <c r="BV7" s="246" t="s">
        <v>519</v>
      </c>
      <c r="BW7" s="246" t="s">
        <v>520</v>
      </c>
      <c r="BX7" s="246" t="s">
        <v>521</v>
      </c>
      <c r="BY7" s="246" t="s">
        <v>522</v>
      </c>
      <c r="BZ7" s="246" t="s">
        <v>523</v>
      </c>
      <c r="CA7" s="246" t="s">
        <v>524</v>
      </c>
      <c r="CB7" s="246" t="s">
        <v>525</v>
      </c>
      <c r="CC7" s="246" t="s">
        <v>526</v>
      </c>
      <c r="CD7" s="246" t="s">
        <v>527</v>
      </c>
      <c r="CE7" s="246" t="s">
        <v>528</v>
      </c>
      <c r="CF7" s="246" t="s">
        <v>529</v>
      </c>
      <c r="CG7" s="246" t="s">
        <v>530</v>
      </c>
      <c r="CH7" s="246" t="s">
        <v>531</v>
      </c>
      <c r="CI7" s="246" t="s">
        <v>532</v>
      </c>
      <c r="CJ7" s="246" t="s">
        <v>533</v>
      </c>
      <c r="CK7" s="246" t="s">
        <v>534</v>
      </c>
      <c r="CL7" s="246" t="s">
        <v>535</v>
      </c>
      <c r="CM7" s="246" t="s">
        <v>536</v>
      </c>
      <c r="CN7" s="246" t="s">
        <v>537</v>
      </c>
      <c r="CO7" s="246" t="s">
        <v>538</v>
      </c>
      <c r="CP7" s="386" t="s">
        <v>539</v>
      </c>
      <c r="CQ7" s="387" t="s">
        <v>540</v>
      </c>
      <c r="CR7" s="387" t="s">
        <v>541</v>
      </c>
      <c r="CS7" s="387" t="s">
        <v>542</v>
      </c>
      <c r="CT7" s="387" t="s">
        <v>543</v>
      </c>
      <c r="CU7" s="387" t="s">
        <v>544</v>
      </c>
      <c r="CV7" s="387" t="s">
        <v>545</v>
      </c>
      <c r="CW7" s="387" t="s">
        <v>546</v>
      </c>
      <c r="CX7" s="387" t="s">
        <v>547</v>
      </c>
      <c r="CY7" s="387" t="s">
        <v>548</v>
      </c>
      <c r="CZ7" s="387" t="s">
        <v>549</v>
      </c>
      <c r="DA7" s="387" t="s">
        <v>550</v>
      </c>
      <c r="DB7" s="387" t="s">
        <v>551</v>
      </c>
      <c r="DC7" s="387" t="s">
        <v>552</v>
      </c>
      <c r="DD7" s="387" t="s">
        <v>553</v>
      </c>
      <c r="DE7" s="240" t="s">
        <v>554</v>
      </c>
      <c r="DF7" s="240" t="s">
        <v>555</v>
      </c>
      <c r="DG7" s="240" t="s">
        <v>556</v>
      </c>
    </row>
    <row r="8" spans="1:111" ht="15" hidden="1" x14ac:dyDescent="0.25">
      <c r="A8" s="549" t="s">
        <v>22</v>
      </c>
      <c r="B8" s="549" t="s">
        <v>22</v>
      </c>
      <c r="C8" s="549" t="s">
        <v>22</v>
      </c>
      <c r="D8" s="549" t="s">
        <v>22</v>
      </c>
      <c r="E8" s="549" t="s">
        <v>22</v>
      </c>
      <c r="F8" s="549" t="s">
        <v>22</v>
      </c>
      <c r="G8" s="549" t="s">
        <v>22</v>
      </c>
      <c r="H8" s="549" t="s">
        <v>22</v>
      </c>
      <c r="I8" s="254" t="s">
        <v>557</v>
      </c>
      <c r="J8" s="550"/>
      <c r="K8" s="550"/>
      <c r="L8" s="550"/>
      <c r="M8" s="550"/>
      <c r="N8" s="550"/>
      <c r="O8" s="550"/>
      <c r="P8" s="392"/>
      <c r="Q8" s="392"/>
      <c r="R8" s="392"/>
      <c r="S8" s="392"/>
      <c r="T8" s="392"/>
      <c r="U8" s="550"/>
      <c r="V8" s="551"/>
      <c r="W8" s="542"/>
      <c r="X8" s="552"/>
      <c r="Y8" s="552"/>
      <c r="Z8" s="552"/>
      <c r="AA8" s="552"/>
      <c r="AB8" s="552"/>
      <c r="AC8" s="552"/>
      <c r="AD8" s="552"/>
      <c r="AE8" s="552"/>
      <c r="AF8" s="552"/>
      <c r="AG8" s="542"/>
      <c r="AH8" s="552"/>
      <c r="AI8" s="552"/>
      <c r="AJ8" s="552"/>
      <c r="AK8" s="552"/>
      <c r="AL8" s="552"/>
      <c r="AM8" s="552"/>
      <c r="AN8" s="552"/>
      <c r="AO8" s="552"/>
      <c r="AP8" s="552"/>
      <c r="AQ8" s="552"/>
      <c r="AR8" s="552"/>
      <c r="AS8" s="552"/>
      <c r="AT8" s="552"/>
      <c r="AU8" s="552"/>
      <c r="AV8" s="553"/>
      <c r="AW8" s="552"/>
      <c r="AX8" s="552"/>
      <c r="AY8" s="552"/>
      <c r="AZ8" s="554"/>
      <c r="BA8" s="554"/>
      <c r="BB8" s="552"/>
      <c r="BC8" s="554"/>
      <c r="BD8" s="552"/>
      <c r="BE8" s="554"/>
      <c r="BF8" s="554"/>
      <c r="BG8" s="554"/>
      <c r="BH8" s="554"/>
      <c r="BI8" s="554"/>
      <c r="BJ8" s="554"/>
      <c r="BK8" s="554"/>
      <c r="BL8" s="554"/>
      <c r="BM8" s="554"/>
      <c r="BN8" s="554"/>
      <c r="BO8" s="554"/>
      <c r="BP8" s="554"/>
      <c r="BQ8" s="554"/>
      <c r="BR8" s="554"/>
      <c r="BS8" s="554"/>
      <c r="BT8" s="554"/>
      <c r="BU8" s="554"/>
      <c r="BV8" s="554"/>
      <c r="BW8" s="554"/>
      <c r="BX8" s="554"/>
      <c r="BY8" s="554"/>
      <c r="BZ8" s="554"/>
      <c r="CA8" s="554"/>
      <c r="CB8" s="554"/>
      <c r="CC8" s="554"/>
      <c r="CD8" s="554"/>
      <c r="CE8" s="554"/>
      <c r="CF8" s="554"/>
      <c r="CG8" s="554"/>
      <c r="CH8" s="554"/>
      <c r="CI8" s="554"/>
      <c r="CJ8" s="554"/>
      <c r="CK8" s="554"/>
      <c r="CL8" s="554"/>
      <c r="CM8" s="554"/>
      <c r="CN8" s="554"/>
      <c r="CO8" s="554"/>
      <c r="CP8" s="554"/>
      <c r="CQ8" s="554"/>
      <c r="CR8" s="554"/>
      <c r="CS8" s="554"/>
      <c r="CT8" s="554"/>
      <c r="CU8" s="554"/>
      <c r="CV8" s="554"/>
      <c r="CW8" s="554"/>
      <c r="CX8" s="554"/>
      <c r="CY8" s="554"/>
      <c r="CZ8" s="554"/>
      <c r="DA8" s="554"/>
      <c r="DB8" s="554"/>
      <c r="DC8" s="554"/>
      <c r="DD8" s="554"/>
      <c r="DE8" s="534"/>
      <c r="DF8" s="534"/>
      <c r="DG8" s="534"/>
    </row>
    <row r="9" spans="1:111" ht="15" hidden="1" x14ac:dyDescent="0.25">
      <c r="A9" s="549" t="str">
        <f>IF(Control!$D$5="N","-",1)</f>
        <v>-</v>
      </c>
      <c r="B9" s="555" t="s">
        <v>558</v>
      </c>
      <c r="C9" s="555" t="s">
        <v>559</v>
      </c>
      <c r="D9" s="555" t="s">
        <v>560</v>
      </c>
      <c r="E9" s="556" t="s">
        <v>22</v>
      </c>
      <c r="F9" s="556" t="s">
        <v>22</v>
      </c>
      <c r="G9" s="556" t="str">
        <f>IFERROR(IF(MID('Load Criteria'!X9,FIND("_",'Load Criteria'!X9,1)+1,1)=LEFT(Control!$D$23,1),"YES","-"),"-")</f>
        <v>YES</v>
      </c>
      <c r="H9" s="549" t="str">
        <f>IF(INDEX('Weather Cases'!$G$10:$G$94,MATCH('Load Criteria'!X9,'Weather Cases'!$H$10:$H$94,0),1)="H","YES","")</f>
        <v>YES</v>
      </c>
      <c r="I9" s="557" t="s">
        <v>299</v>
      </c>
      <c r="J9" s="550">
        <f>'Weather Cases'!D10</f>
        <v>1000</v>
      </c>
      <c r="K9" s="550" t="s">
        <v>88</v>
      </c>
      <c r="L9" s="550"/>
      <c r="M9" s="550"/>
      <c r="N9" s="550"/>
      <c r="O9" s="550"/>
      <c r="P9" s="392"/>
      <c r="Q9" s="392"/>
      <c r="R9" s="392"/>
      <c r="S9" s="392"/>
      <c r="T9" s="392"/>
      <c r="U9" s="550" t="s">
        <v>247</v>
      </c>
      <c r="V9" s="551" t="s">
        <v>300</v>
      </c>
      <c r="W9" s="542" t="str">
        <f>X9&amp;"+"&amp;K9&amp;IF(L9="","",CONCATENATE(L9,M9,N9,O9))&amp;" "&amp;U9</f>
        <v>MW1000_A8+E Max</v>
      </c>
      <c r="X9" s="552" t="str">
        <f>I9&amp;TEXT(J9,"0000")&amp;"_"&amp;LEFT(Control!$D$23,1)&amp;LEFT(Control!$D$22,LEN(Control!$D$22)-2)</f>
        <v>MW1000_A8</v>
      </c>
      <c r="Y9" s="552" t="s">
        <v>433</v>
      </c>
      <c r="Z9" s="552" t="str">
        <f t="shared" ref="Z9:Z23" si="0">U9</f>
        <v>Max</v>
      </c>
      <c r="AA9" s="552" t="str">
        <f t="shared" ref="AA9:AA23" si="1">V9</f>
        <v/>
      </c>
      <c r="AB9" s="552">
        <v>1</v>
      </c>
      <c r="AC9" s="552">
        <v>1</v>
      </c>
      <c r="AD9" s="552">
        <v>1</v>
      </c>
      <c r="AE9" s="552">
        <v>1</v>
      </c>
      <c r="AF9" s="552">
        <v>1</v>
      </c>
      <c r="AG9" s="542" t="s">
        <v>561</v>
      </c>
      <c r="AH9" s="552">
        <v>0</v>
      </c>
      <c r="AI9" s="552">
        <v>0</v>
      </c>
      <c r="AJ9" s="552">
        <v>1</v>
      </c>
      <c r="AK9" s="552">
        <v>1</v>
      </c>
      <c r="AL9" s="552">
        <v>1</v>
      </c>
      <c r="AM9" s="552">
        <v>0</v>
      </c>
      <c r="AN9" s="552">
        <v>0</v>
      </c>
      <c r="AO9" s="552">
        <v>1</v>
      </c>
      <c r="AP9" s="552">
        <v>1</v>
      </c>
      <c r="AQ9" s="552">
        <v>1</v>
      </c>
      <c r="AR9" s="552">
        <v>1</v>
      </c>
      <c r="AS9" s="552">
        <v>1</v>
      </c>
      <c r="AT9" s="552">
        <v>1</v>
      </c>
      <c r="AU9" s="552"/>
      <c r="AV9" s="553" t="str">
        <f>IF(H9="YES","'"&amp;INDEX('Structure Groups'!$C$12:$C$14,MATCH('Load Criteria'!$B$5,'Structure Groups'!$B$12:$B$14,0),1)&amp;"'","'All'")</f>
        <v>'GL Max 800m'</v>
      </c>
      <c r="AW9" s="552" t="s">
        <v>562</v>
      </c>
      <c r="AX9" s="558" t="s">
        <v>300</v>
      </c>
      <c r="AY9" s="552" t="str">
        <f t="shared" ref="AY9:AY40" si="2">IF(L9="","No","Yes")</f>
        <v>No</v>
      </c>
      <c r="AZ9" s="554" t="str">
        <f t="shared" ref="AZ9:AZ40" si="3">IF(AY9="No","",IF(L9="A","Ahead Spans","Back Spans"))</f>
        <v/>
      </c>
      <c r="BA9" s="554" t="str">
        <f t="shared" ref="BA9:BA72" si="4">IF(AZ9="","","% Wire Wind Pressure")</f>
        <v/>
      </c>
      <c r="BB9" s="552" t="str">
        <f t="shared" ref="BB9:BB72" si="5">IF(AZ9="","",75)</f>
        <v/>
      </c>
      <c r="BC9" s="559" t="s">
        <v>300</v>
      </c>
      <c r="BD9" s="559" t="s">
        <v>300</v>
      </c>
      <c r="BE9" s="559" t="s">
        <v>300</v>
      </c>
      <c r="BF9" s="559" t="s">
        <v>300</v>
      </c>
      <c r="BG9" s="559" t="s">
        <v>300</v>
      </c>
      <c r="BH9" s="559" t="s">
        <v>300</v>
      </c>
      <c r="BI9" s="559" t="s">
        <v>300</v>
      </c>
      <c r="BJ9" s="559" t="s">
        <v>300</v>
      </c>
      <c r="BK9" s="559" t="s">
        <v>300</v>
      </c>
      <c r="BL9" s="559" t="s">
        <v>300</v>
      </c>
      <c r="BM9" s="559" t="s">
        <v>300</v>
      </c>
      <c r="BN9" s="559" t="s">
        <v>300</v>
      </c>
      <c r="BO9" s="559" t="s">
        <v>300</v>
      </c>
      <c r="BP9" s="559" t="s">
        <v>300</v>
      </c>
      <c r="BQ9" s="559" t="s">
        <v>300</v>
      </c>
      <c r="BR9" s="559" t="s">
        <v>300</v>
      </c>
      <c r="BS9" s="559" t="s">
        <v>300</v>
      </c>
      <c r="BT9" s="559" t="s">
        <v>300</v>
      </c>
      <c r="BU9" s="559" t="s">
        <v>300</v>
      </c>
      <c r="BV9" s="559" t="s">
        <v>300</v>
      </c>
      <c r="BW9" s="559" t="s">
        <v>300</v>
      </c>
      <c r="BX9" s="559" t="s">
        <v>300</v>
      </c>
      <c r="BY9" s="559" t="s">
        <v>300</v>
      </c>
      <c r="BZ9" s="559" t="s">
        <v>300</v>
      </c>
      <c r="CA9" s="559" t="s">
        <v>300</v>
      </c>
      <c r="CB9" s="559" t="s">
        <v>300</v>
      </c>
      <c r="CC9" s="559" t="s">
        <v>300</v>
      </c>
      <c r="CD9" s="554"/>
      <c r="CE9" s="554"/>
      <c r="CF9" s="554"/>
      <c r="CG9" s="554"/>
      <c r="CH9" s="554"/>
      <c r="CI9" s="554"/>
      <c r="CJ9" s="554"/>
      <c r="CK9" s="554"/>
      <c r="CL9" s="554"/>
      <c r="CM9" s="554"/>
      <c r="CN9" s="554"/>
      <c r="CO9" s="554"/>
      <c r="CP9" s="554"/>
      <c r="CQ9" s="554"/>
      <c r="CR9" s="554"/>
      <c r="CS9" s="554"/>
      <c r="CT9" s="554"/>
      <c r="CU9" s="554"/>
      <c r="CV9" s="554"/>
      <c r="CW9" s="554"/>
      <c r="CX9" s="554"/>
      <c r="CY9" s="554"/>
      <c r="CZ9" s="554"/>
      <c r="DA9" s="554"/>
      <c r="DB9" s="554"/>
      <c r="DC9" s="554"/>
      <c r="DD9" s="554"/>
      <c r="DE9" s="534"/>
      <c r="DF9" s="534"/>
      <c r="DG9" s="534"/>
    </row>
    <row r="10" spans="1:111" ht="15" hidden="1" x14ac:dyDescent="0.25">
      <c r="A10" s="549" t="str">
        <f>IF(Control!$D$5="N","-",1)</f>
        <v>-</v>
      </c>
      <c r="B10" s="555" t="s">
        <v>558</v>
      </c>
      <c r="C10" s="555" t="s">
        <v>559</v>
      </c>
      <c r="D10" s="555" t="s">
        <v>560</v>
      </c>
      <c r="E10" s="556" t="s">
        <v>22</v>
      </c>
      <c r="F10" s="556" t="s">
        <v>22</v>
      </c>
      <c r="G10" s="556" t="str">
        <f>IFERROR(IF(MID('Load Criteria'!X10,FIND("_",'Load Criteria'!X10,1)+1,1)=LEFT(Control!$D$23,1),"YES","-"),"-")</f>
        <v>YES</v>
      </c>
      <c r="H10" s="549" t="str">
        <f>IF(INDEX('Weather Cases'!$G$10:$G$94,MATCH('Load Criteria'!X10,'Weather Cases'!$H$10:$H$94,0),1)="H","YES","")</f>
        <v>YES</v>
      </c>
      <c r="I10" s="557" t="s">
        <v>299</v>
      </c>
      <c r="J10" s="550">
        <f>'Weather Cases'!D11</f>
        <v>500</v>
      </c>
      <c r="K10" s="550" t="s">
        <v>88</v>
      </c>
      <c r="L10" s="252"/>
      <c r="M10" s="252"/>
      <c r="N10" s="252"/>
      <c r="O10" s="252"/>
      <c r="P10" s="393"/>
      <c r="Q10" s="393"/>
      <c r="R10" s="393"/>
      <c r="S10" s="393"/>
      <c r="T10" s="393"/>
      <c r="U10" s="550" t="s">
        <v>247</v>
      </c>
      <c r="V10" s="551" t="s">
        <v>300</v>
      </c>
      <c r="W10" s="542" t="str">
        <f t="shared" ref="W10:W68" si="6">X10&amp;"+"&amp;K10&amp;IF(L10="","",CONCATENATE(L10,M10,N10,O10))&amp;" "&amp;U10</f>
        <v>MW0500_A8+E Max</v>
      </c>
      <c r="X10" s="552" t="str">
        <f>I10&amp;TEXT(J10,"0000")&amp;"_"&amp;LEFT(Control!$D$23,1)&amp;LEFT(Control!$D$22,LEN(Control!$D$22)-2)</f>
        <v>MW0500_A8</v>
      </c>
      <c r="Y10" s="552" t="s">
        <v>433</v>
      </c>
      <c r="Z10" s="552" t="str">
        <f t="shared" si="0"/>
        <v>Max</v>
      </c>
      <c r="AA10" s="552" t="str">
        <f t="shared" si="1"/>
        <v/>
      </c>
      <c r="AB10" s="552">
        <v>1</v>
      </c>
      <c r="AC10" s="552">
        <v>1</v>
      </c>
      <c r="AD10" s="552">
        <v>1</v>
      </c>
      <c r="AE10" s="552">
        <v>1</v>
      </c>
      <c r="AF10" s="552">
        <v>1</v>
      </c>
      <c r="AG10" s="542" t="s">
        <v>561</v>
      </c>
      <c r="AH10" s="552">
        <v>0</v>
      </c>
      <c r="AI10" s="552">
        <v>0</v>
      </c>
      <c r="AJ10" s="552">
        <v>1</v>
      </c>
      <c r="AK10" s="552">
        <v>1</v>
      </c>
      <c r="AL10" s="552">
        <v>1</v>
      </c>
      <c r="AM10" s="552">
        <v>0</v>
      </c>
      <c r="AN10" s="552">
        <v>0</v>
      </c>
      <c r="AO10" s="552">
        <v>1</v>
      </c>
      <c r="AP10" s="552">
        <v>1</v>
      </c>
      <c r="AQ10" s="552">
        <v>1</v>
      </c>
      <c r="AR10" s="552">
        <v>1</v>
      </c>
      <c r="AS10" s="552">
        <v>1</v>
      </c>
      <c r="AT10" s="552">
        <v>1</v>
      </c>
      <c r="AU10" s="552"/>
      <c r="AV10" s="553" t="str">
        <f>IF(H10="YES","'"&amp;INDEX('Structure Groups'!$C$12:$C$14,MATCH('Load Criteria'!$B$5,'Structure Groups'!$B$12:$B$14,0),1)&amp;"'","'All'")</f>
        <v>'GL Max 800m'</v>
      </c>
      <c r="AW10" s="552" t="s">
        <v>562</v>
      </c>
      <c r="AX10" s="552"/>
      <c r="AY10" s="552" t="str">
        <f t="shared" si="2"/>
        <v>No</v>
      </c>
      <c r="AZ10" s="554" t="str">
        <f t="shared" si="3"/>
        <v/>
      </c>
      <c r="BA10" s="554" t="str">
        <f t="shared" si="4"/>
        <v/>
      </c>
      <c r="BB10" s="552" t="str">
        <f t="shared" si="5"/>
        <v/>
      </c>
      <c r="BC10" s="559" t="s">
        <v>300</v>
      </c>
      <c r="BD10" s="559" t="s">
        <v>300</v>
      </c>
      <c r="BE10" s="559" t="s">
        <v>300</v>
      </c>
      <c r="BF10" s="559" t="s">
        <v>300</v>
      </c>
      <c r="BG10" s="559" t="s">
        <v>300</v>
      </c>
      <c r="BH10" s="559" t="s">
        <v>300</v>
      </c>
      <c r="BI10" s="559" t="s">
        <v>300</v>
      </c>
      <c r="BJ10" s="559" t="s">
        <v>300</v>
      </c>
      <c r="BK10" s="559" t="s">
        <v>300</v>
      </c>
      <c r="BL10" s="559" t="s">
        <v>300</v>
      </c>
      <c r="BM10" s="559" t="s">
        <v>300</v>
      </c>
      <c r="BN10" s="559" t="s">
        <v>300</v>
      </c>
      <c r="BO10" s="559" t="s">
        <v>300</v>
      </c>
      <c r="BP10" s="559" t="s">
        <v>300</v>
      </c>
      <c r="BQ10" s="559" t="s">
        <v>300</v>
      </c>
      <c r="BR10" s="559" t="s">
        <v>300</v>
      </c>
      <c r="BS10" s="559" t="s">
        <v>300</v>
      </c>
      <c r="BT10" s="559" t="s">
        <v>300</v>
      </c>
      <c r="BU10" s="559" t="s">
        <v>300</v>
      </c>
      <c r="BV10" s="559" t="s">
        <v>300</v>
      </c>
      <c r="BW10" s="559" t="s">
        <v>300</v>
      </c>
      <c r="BX10" s="559" t="s">
        <v>300</v>
      </c>
      <c r="BY10" s="559" t="s">
        <v>300</v>
      </c>
      <c r="BZ10" s="559" t="s">
        <v>300</v>
      </c>
      <c r="CA10" s="559" t="s">
        <v>300</v>
      </c>
      <c r="CB10" s="559" t="s">
        <v>300</v>
      </c>
      <c r="CC10" s="559" t="s">
        <v>300</v>
      </c>
      <c r="CD10" s="554"/>
      <c r="CE10" s="554"/>
      <c r="CF10" s="554"/>
      <c r="CG10" s="554"/>
      <c r="CH10" s="554"/>
      <c r="CI10" s="554"/>
      <c r="CJ10" s="554"/>
      <c r="CK10" s="554"/>
      <c r="CL10" s="554"/>
      <c r="CM10" s="554"/>
      <c r="CN10" s="554"/>
      <c r="CO10" s="554"/>
      <c r="CP10" s="554"/>
      <c r="CQ10" s="554"/>
      <c r="CR10" s="554"/>
      <c r="CS10" s="554"/>
      <c r="CT10" s="554"/>
      <c r="CU10" s="554"/>
      <c r="CV10" s="554"/>
      <c r="CW10" s="554"/>
      <c r="CX10" s="554"/>
      <c r="CY10" s="554"/>
      <c r="CZ10" s="554"/>
      <c r="DA10" s="554"/>
      <c r="DB10" s="554"/>
      <c r="DC10" s="554"/>
      <c r="DD10" s="554"/>
      <c r="DE10" s="534"/>
      <c r="DF10" s="534"/>
      <c r="DG10" s="534"/>
    </row>
    <row r="11" spans="1:111" ht="15" hidden="1" x14ac:dyDescent="0.25">
      <c r="A11" s="549" t="str">
        <f>IF(Control!$D$5="N","-",1)</f>
        <v>-</v>
      </c>
      <c r="B11" s="555" t="s">
        <v>558</v>
      </c>
      <c r="C11" s="555" t="s">
        <v>559</v>
      </c>
      <c r="D11" s="555" t="s">
        <v>560</v>
      </c>
      <c r="E11" s="556" t="s">
        <v>22</v>
      </c>
      <c r="F11" s="556" t="s">
        <v>22</v>
      </c>
      <c r="G11" s="556" t="str">
        <f>IFERROR(IF(MID('Load Criteria'!X11,FIND("_",'Load Criteria'!X11,1)+1,1)=LEFT(Control!$D$23,1),"YES","-"),"-")</f>
        <v>YES</v>
      </c>
      <c r="H11" s="549" t="str">
        <f>IF(INDEX('Weather Cases'!$G$10:$G$94,MATCH('Load Criteria'!X11,'Weather Cases'!$H$10:$H$94,0),1)="H","YES","")</f>
        <v>YES</v>
      </c>
      <c r="I11" s="557" t="s">
        <v>299</v>
      </c>
      <c r="J11" s="550">
        <f>'Weather Cases'!D12</f>
        <v>400</v>
      </c>
      <c r="K11" s="550" t="s">
        <v>88</v>
      </c>
      <c r="L11" s="252"/>
      <c r="M11" s="252"/>
      <c r="N11" s="252"/>
      <c r="O11" s="252"/>
      <c r="P11" s="393"/>
      <c r="Q11" s="393"/>
      <c r="R11" s="393"/>
      <c r="S11" s="393"/>
      <c r="T11" s="393"/>
      <c r="U11" s="550" t="s">
        <v>247</v>
      </c>
      <c r="V11" s="551" t="s">
        <v>300</v>
      </c>
      <c r="W11" s="542" t="str">
        <f t="shared" si="6"/>
        <v>MW0400_A8+E Max</v>
      </c>
      <c r="X11" s="552" t="str">
        <f>I11&amp;TEXT(J11,"0000")&amp;"_"&amp;LEFT(Control!$D$23,1)&amp;LEFT(Control!$D$22,LEN(Control!$D$22)-2)</f>
        <v>MW0400_A8</v>
      </c>
      <c r="Y11" s="552" t="s">
        <v>433</v>
      </c>
      <c r="Z11" s="552" t="str">
        <f t="shared" si="0"/>
        <v>Max</v>
      </c>
      <c r="AA11" s="552" t="str">
        <f t="shared" si="1"/>
        <v/>
      </c>
      <c r="AB11" s="552">
        <v>1</v>
      </c>
      <c r="AC11" s="552">
        <v>1</v>
      </c>
      <c r="AD11" s="552">
        <v>1</v>
      </c>
      <c r="AE11" s="552">
        <v>1</v>
      </c>
      <c r="AF11" s="552">
        <v>1</v>
      </c>
      <c r="AG11" s="542" t="s">
        <v>561</v>
      </c>
      <c r="AH11" s="552">
        <v>0</v>
      </c>
      <c r="AI11" s="552">
        <v>0</v>
      </c>
      <c r="AJ11" s="552">
        <v>1</v>
      </c>
      <c r="AK11" s="552">
        <v>1</v>
      </c>
      <c r="AL11" s="552">
        <v>1</v>
      </c>
      <c r="AM11" s="552">
        <v>0</v>
      </c>
      <c r="AN11" s="552">
        <v>0</v>
      </c>
      <c r="AO11" s="552">
        <v>1</v>
      </c>
      <c r="AP11" s="552">
        <v>1</v>
      </c>
      <c r="AQ11" s="552">
        <v>1</v>
      </c>
      <c r="AR11" s="552">
        <v>1</v>
      </c>
      <c r="AS11" s="552">
        <v>1</v>
      </c>
      <c r="AT11" s="552">
        <v>1</v>
      </c>
      <c r="AU11" s="552"/>
      <c r="AV11" s="553" t="str">
        <f>IF(H11="YES","'"&amp;INDEX('Structure Groups'!$C$12:$C$14,MATCH('Load Criteria'!$B$5,'Structure Groups'!$B$12:$B$14,0),1)&amp;"'","'All'")</f>
        <v>'GL Max 800m'</v>
      </c>
      <c r="AW11" s="552" t="s">
        <v>562</v>
      </c>
      <c r="AX11" s="552"/>
      <c r="AY11" s="552" t="str">
        <f t="shared" si="2"/>
        <v>No</v>
      </c>
      <c r="AZ11" s="554" t="str">
        <f t="shared" si="3"/>
        <v/>
      </c>
      <c r="BA11" s="554" t="str">
        <f t="shared" si="4"/>
        <v/>
      </c>
      <c r="BB11" s="552" t="str">
        <f t="shared" si="5"/>
        <v/>
      </c>
      <c r="BC11" s="559" t="s">
        <v>300</v>
      </c>
      <c r="BD11" s="559" t="s">
        <v>300</v>
      </c>
      <c r="BE11" s="559" t="s">
        <v>300</v>
      </c>
      <c r="BF11" s="559" t="s">
        <v>300</v>
      </c>
      <c r="BG11" s="559" t="s">
        <v>300</v>
      </c>
      <c r="BH11" s="559" t="s">
        <v>300</v>
      </c>
      <c r="BI11" s="559" t="s">
        <v>300</v>
      </c>
      <c r="BJ11" s="559" t="s">
        <v>300</v>
      </c>
      <c r="BK11" s="559" t="s">
        <v>300</v>
      </c>
      <c r="BL11" s="559" t="s">
        <v>300</v>
      </c>
      <c r="BM11" s="559" t="s">
        <v>300</v>
      </c>
      <c r="BN11" s="559" t="s">
        <v>300</v>
      </c>
      <c r="BO11" s="559" t="s">
        <v>300</v>
      </c>
      <c r="BP11" s="559" t="s">
        <v>300</v>
      </c>
      <c r="BQ11" s="559" t="s">
        <v>300</v>
      </c>
      <c r="BR11" s="559" t="s">
        <v>300</v>
      </c>
      <c r="BS11" s="559" t="s">
        <v>300</v>
      </c>
      <c r="BT11" s="559" t="s">
        <v>300</v>
      </c>
      <c r="BU11" s="559" t="s">
        <v>300</v>
      </c>
      <c r="BV11" s="559" t="s">
        <v>300</v>
      </c>
      <c r="BW11" s="559" t="s">
        <v>300</v>
      </c>
      <c r="BX11" s="559" t="s">
        <v>300</v>
      </c>
      <c r="BY11" s="559" t="s">
        <v>300</v>
      </c>
      <c r="BZ11" s="559" t="s">
        <v>300</v>
      </c>
      <c r="CA11" s="559" t="s">
        <v>300</v>
      </c>
      <c r="CB11" s="559" t="s">
        <v>300</v>
      </c>
      <c r="CC11" s="559" t="s">
        <v>300</v>
      </c>
      <c r="CD11" s="554"/>
      <c r="CE11" s="554"/>
      <c r="CF11" s="554"/>
      <c r="CG11" s="554"/>
      <c r="CH11" s="554"/>
      <c r="CI11" s="554"/>
      <c r="CJ11" s="554"/>
      <c r="CK11" s="554"/>
      <c r="CL11" s="554"/>
      <c r="CM11" s="554"/>
      <c r="CN11" s="554"/>
      <c r="CO11" s="554"/>
      <c r="CP11" s="554"/>
      <c r="CQ11" s="554"/>
      <c r="CR11" s="554"/>
      <c r="CS11" s="554"/>
      <c r="CT11" s="554"/>
      <c r="CU11" s="554"/>
      <c r="CV11" s="554"/>
      <c r="CW11" s="554"/>
      <c r="CX11" s="554"/>
      <c r="CY11" s="554"/>
      <c r="CZ11" s="554"/>
      <c r="DA11" s="554"/>
      <c r="DB11" s="554"/>
      <c r="DC11" s="554"/>
      <c r="DD11" s="554"/>
      <c r="DE11" s="534"/>
      <c r="DF11" s="534"/>
      <c r="DG11" s="534"/>
    </row>
    <row r="12" spans="1:111" ht="15" hidden="1" x14ac:dyDescent="0.25">
      <c r="A12" s="549" t="str">
        <f>IF(Control!$D$5="N","-",1)</f>
        <v>-</v>
      </c>
      <c r="B12" s="555" t="s">
        <v>558</v>
      </c>
      <c r="C12" s="555" t="s">
        <v>559</v>
      </c>
      <c r="D12" s="555" t="s">
        <v>560</v>
      </c>
      <c r="E12" s="556" t="s">
        <v>22</v>
      </c>
      <c r="F12" s="556" t="s">
        <v>22</v>
      </c>
      <c r="G12" s="556" t="str">
        <f>IFERROR(IF(MID('Load Criteria'!X12,FIND("_",'Load Criteria'!X12,1)+1,1)=LEFT(Control!$D$23,1),"YES","-"),"-")</f>
        <v>YES</v>
      </c>
      <c r="H12" s="549" t="str">
        <f>IF(INDEX('Weather Cases'!$G$10:$G$94,MATCH('Load Criteria'!X12,'Weather Cases'!$H$10:$H$94,0),1)="H","YES","")</f>
        <v>YES</v>
      </c>
      <c r="I12" s="557" t="s">
        <v>299</v>
      </c>
      <c r="J12" s="550">
        <f>'Weather Cases'!D13</f>
        <v>300</v>
      </c>
      <c r="K12" s="550" t="s">
        <v>88</v>
      </c>
      <c r="L12" s="252"/>
      <c r="M12" s="252"/>
      <c r="N12" s="252"/>
      <c r="O12" s="252"/>
      <c r="P12" s="393"/>
      <c r="Q12" s="393"/>
      <c r="R12" s="393"/>
      <c r="S12" s="393"/>
      <c r="T12" s="393"/>
      <c r="U12" s="550" t="s">
        <v>247</v>
      </c>
      <c r="V12" s="551" t="s">
        <v>300</v>
      </c>
      <c r="W12" s="542" t="str">
        <f t="shared" si="6"/>
        <v>MW0300_A8+E Max</v>
      </c>
      <c r="X12" s="552" t="str">
        <f>I12&amp;TEXT(J12,"0000")&amp;"_"&amp;LEFT(Control!$D$23,1)&amp;LEFT(Control!$D$22,LEN(Control!$D$22)-2)</f>
        <v>MW0300_A8</v>
      </c>
      <c r="Y12" s="552" t="s">
        <v>433</v>
      </c>
      <c r="Z12" s="552" t="str">
        <f t="shared" si="0"/>
        <v>Max</v>
      </c>
      <c r="AA12" s="552" t="str">
        <f t="shared" si="1"/>
        <v/>
      </c>
      <c r="AB12" s="552">
        <v>1</v>
      </c>
      <c r="AC12" s="552">
        <v>1</v>
      </c>
      <c r="AD12" s="552">
        <v>1</v>
      </c>
      <c r="AE12" s="552">
        <v>1</v>
      </c>
      <c r="AF12" s="552">
        <v>1</v>
      </c>
      <c r="AG12" s="542" t="s">
        <v>561</v>
      </c>
      <c r="AH12" s="552">
        <v>0</v>
      </c>
      <c r="AI12" s="552">
        <v>0</v>
      </c>
      <c r="AJ12" s="552">
        <v>1</v>
      </c>
      <c r="AK12" s="552">
        <v>1</v>
      </c>
      <c r="AL12" s="552">
        <v>1</v>
      </c>
      <c r="AM12" s="552">
        <v>0</v>
      </c>
      <c r="AN12" s="552">
        <v>0</v>
      </c>
      <c r="AO12" s="552">
        <v>1</v>
      </c>
      <c r="AP12" s="552">
        <v>1</v>
      </c>
      <c r="AQ12" s="552">
        <v>1</v>
      </c>
      <c r="AR12" s="552">
        <v>1</v>
      </c>
      <c r="AS12" s="552">
        <v>1</v>
      </c>
      <c r="AT12" s="552">
        <v>1</v>
      </c>
      <c r="AU12" s="552"/>
      <c r="AV12" s="553" t="str">
        <f>IF(H12="YES","'"&amp;INDEX('Structure Groups'!$C$12:$C$14,MATCH('Load Criteria'!$B$5,'Structure Groups'!$B$12:$B$14,0),1)&amp;"'","'All'")</f>
        <v>'GL Max 800m'</v>
      </c>
      <c r="AW12" s="552" t="s">
        <v>562</v>
      </c>
      <c r="AX12" s="552"/>
      <c r="AY12" s="552" t="str">
        <f t="shared" si="2"/>
        <v>No</v>
      </c>
      <c r="AZ12" s="554" t="str">
        <f t="shared" si="3"/>
        <v/>
      </c>
      <c r="BA12" s="554" t="str">
        <f t="shared" si="4"/>
        <v/>
      </c>
      <c r="BB12" s="552" t="str">
        <f t="shared" si="5"/>
        <v/>
      </c>
      <c r="BC12" s="559" t="s">
        <v>300</v>
      </c>
      <c r="BD12" s="559" t="s">
        <v>300</v>
      </c>
      <c r="BE12" s="559" t="s">
        <v>300</v>
      </c>
      <c r="BF12" s="559" t="s">
        <v>300</v>
      </c>
      <c r="BG12" s="559" t="s">
        <v>300</v>
      </c>
      <c r="BH12" s="559" t="s">
        <v>300</v>
      </c>
      <c r="BI12" s="559" t="s">
        <v>300</v>
      </c>
      <c r="BJ12" s="559" t="s">
        <v>300</v>
      </c>
      <c r="BK12" s="559" t="s">
        <v>300</v>
      </c>
      <c r="BL12" s="559" t="s">
        <v>300</v>
      </c>
      <c r="BM12" s="559" t="s">
        <v>300</v>
      </c>
      <c r="BN12" s="559" t="s">
        <v>300</v>
      </c>
      <c r="BO12" s="559" t="s">
        <v>300</v>
      </c>
      <c r="BP12" s="559" t="s">
        <v>300</v>
      </c>
      <c r="BQ12" s="559" t="s">
        <v>300</v>
      </c>
      <c r="BR12" s="559" t="s">
        <v>300</v>
      </c>
      <c r="BS12" s="559" t="s">
        <v>300</v>
      </c>
      <c r="BT12" s="559" t="s">
        <v>300</v>
      </c>
      <c r="BU12" s="559" t="s">
        <v>300</v>
      </c>
      <c r="BV12" s="559" t="s">
        <v>300</v>
      </c>
      <c r="BW12" s="559" t="s">
        <v>300</v>
      </c>
      <c r="BX12" s="559" t="s">
        <v>300</v>
      </c>
      <c r="BY12" s="559" t="s">
        <v>300</v>
      </c>
      <c r="BZ12" s="559" t="s">
        <v>300</v>
      </c>
      <c r="CA12" s="559" t="s">
        <v>300</v>
      </c>
      <c r="CB12" s="559" t="s">
        <v>300</v>
      </c>
      <c r="CC12" s="559" t="s">
        <v>300</v>
      </c>
      <c r="CD12" s="554"/>
      <c r="CE12" s="554"/>
      <c r="CF12" s="554"/>
      <c r="CG12" s="554"/>
      <c r="CH12" s="554"/>
      <c r="CI12" s="554"/>
      <c r="CJ12" s="554"/>
      <c r="CK12" s="554"/>
      <c r="CL12" s="554"/>
      <c r="CM12" s="554"/>
      <c r="CN12" s="554"/>
      <c r="CO12" s="554"/>
      <c r="CP12" s="554"/>
      <c r="CQ12" s="554"/>
      <c r="CR12" s="554"/>
      <c r="CS12" s="554"/>
      <c r="CT12" s="554"/>
      <c r="CU12" s="554"/>
      <c r="CV12" s="554"/>
      <c r="CW12" s="554"/>
      <c r="CX12" s="554"/>
      <c r="CY12" s="554"/>
      <c r="CZ12" s="554"/>
      <c r="DA12" s="554"/>
      <c r="DB12" s="554"/>
      <c r="DC12" s="554"/>
      <c r="DD12" s="554"/>
      <c r="DE12" s="534"/>
      <c r="DF12" s="534"/>
      <c r="DG12" s="534"/>
    </row>
    <row r="13" spans="1:111" ht="15" hidden="1" x14ac:dyDescent="0.25">
      <c r="A13" s="549" t="str">
        <f>IF(Control!$D$5="N","-",1)</f>
        <v>-</v>
      </c>
      <c r="B13" s="555" t="s">
        <v>558</v>
      </c>
      <c r="C13" s="555" t="s">
        <v>559</v>
      </c>
      <c r="D13" s="555" t="s">
        <v>560</v>
      </c>
      <c r="E13" s="556" t="s">
        <v>22</v>
      </c>
      <c r="F13" s="556" t="s">
        <v>22</v>
      </c>
      <c r="G13" s="556" t="str">
        <f>IFERROR(IF(MID('Load Criteria'!X13,FIND("_",'Load Criteria'!X13,1)+1,1)=LEFT(Control!$D$23,1),"YES","-"),"-")</f>
        <v>YES</v>
      </c>
      <c r="H13" s="549" t="str">
        <f>IF(INDEX('Weather Cases'!$G$10:$G$94,MATCH('Load Criteria'!X13,'Weather Cases'!$H$10:$H$94,0),1)="H","YES","")</f>
        <v>YES</v>
      </c>
      <c r="I13" s="557" t="s">
        <v>299</v>
      </c>
      <c r="J13" s="550">
        <f>'Weather Cases'!D14</f>
        <v>250</v>
      </c>
      <c r="K13" s="550" t="s">
        <v>88</v>
      </c>
      <c r="L13" s="252"/>
      <c r="M13" s="252"/>
      <c r="N13" s="252"/>
      <c r="O13" s="252"/>
      <c r="P13" s="393"/>
      <c r="Q13" s="393"/>
      <c r="R13" s="393"/>
      <c r="S13" s="393"/>
      <c r="T13" s="393"/>
      <c r="U13" s="550" t="s">
        <v>247</v>
      </c>
      <c r="V13" s="551" t="s">
        <v>300</v>
      </c>
      <c r="W13" s="542" t="str">
        <f t="shared" si="6"/>
        <v>MW0250_A8+E Max</v>
      </c>
      <c r="X13" s="552" t="str">
        <f>I13&amp;TEXT(J13,"0000")&amp;"_"&amp;LEFT(Control!$D$23,1)&amp;LEFT(Control!$D$22,LEN(Control!$D$22)-2)</f>
        <v>MW0250_A8</v>
      </c>
      <c r="Y13" s="552" t="s">
        <v>433</v>
      </c>
      <c r="Z13" s="552" t="str">
        <f>U13</f>
        <v>Max</v>
      </c>
      <c r="AA13" s="552" t="str">
        <f>V13</f>
        <v/>
      </c>
      <c r="AB13" s="552">
        <v>1</v>
      </c>
      <c r="AC13" s="552">
        <v>1</v>
      </c>
      <c r="AD13" s="552">
        <v>1</v>
      </c>
      <c r="AE13" s="552">
        <v>1</v>
      </c>
      <c r="AF13" s="552">
        <v>1</v>
      </c>
      <c r="AG13" s="542" t="s">
        <v>561</v>
      </c>
      <c r="AH13" s="552">
        <v>0</v>
      </c>
      <c r="AI13" s="552">
        <v>0</v>
      </c>
      <c r="AJ13" s="552">
        <v>1</v>
      </c>
      <c r="AK13" s="552">
        <v>1</v>
      </c>
      <c r="AL13" s="552">
        <v>1</v>
      </c>
      <c r="AM13" s="552">
        <v>0</v>
      </c>
      <c r="AN13" s="552">
        <v>0</v>
      </c>
      <c r="AO13" s="552">
        <v>1</v>
      </c>
      <c r="AP13" s="552">
        <v>1</v>
      </c>
      <c r="AQ13" s="552">
        <v>1</v>
      </c>
      <c r="AR13" s="552">
        <v>1</v>
      </c>
      <c r="AS13" s="552">
        <v>1</v>
      </c>
      <c r="AT13" s="552">
        <v>1</v>
      </c>
      <c r="AU13" s="552"/>
      <c r="AV13" s="553" t="str">
        <f>IF(H13="YES","'"&amp;INDEX('Structure Groups'!$C$12:$C$14,MATCH('Load Criteria'!$B$5,'Structure Groups'!$B$12:$B$14,0),1)&amp;"'","'All'")</f>
        <v>'GL Max 800m'</v>
      </c>
      <c r="AW13" s="552" t="s">
        <v>562</v>
      </c>
      <c r="AX13" s="552"/>
      <c r="AY13" s="552" t="str">
        <f t="shared" si="2"/>
        <v>No</v>
      </c>
      <c r="AZ13" s="554" t="str">
        <f t="shared" si="3"/>
        <v/>
      </c>
      <c r="BA13" s="554" t="str">
        <f t="shared" si="4"/>
        <v/>
      </c>
      <c r="BB13" s="552" t="str">
        <f t="shared" si="5"/>
        <v/>
      </c>
      <c r="BC13" s="559" t="s">
        <v>300</v>
      </c>
      <c r="BD13" s="559" t="s">
        <v>300</v>
      </c>
      <c r="BE13" s="559" t="s">
        <v>300</v>
      </c>
      <c r="BF13" s="559" t="s">
        <v>300</v>
      </c>
      <c r="BG13" s="559" t="s">
        <v>300</v>
      </c>
      <c r="BH13" s="559" t="s">
        <v>300</v>
      </c>
      <c r="BI13" s="559" t="s">
        <v>300</v>
      </c>
      <c r="BJ13" s="559" t="s">
        <v>300</v>
      </c>
      <c r="BK13" s="559" t="s">
        <v>300</v>
      </c>
      <c r="BL13" s="559" t="s">
        <v>300</v>
      </c>
      <c r="BM13" s="559" t="s">
        <v>300</v>
      </c>
      <c r="BN13" s="559" t="s">
        <v>300</v>
      </c>
      <c r="BO13" s="559" t="s">
        <v>300</v>
      </c>
      <c r="BP13" s="559" t="s">
        <v>300</v>
      </c>
      <c r="BQ13" s="559" t="s">
        <v>300</v>
      </c>
      <c r="BR13" s="559" t="s">
        <v>300</v>
      </c>
      <c r="BS13" s="559" t="s">
        <v>300</v>
      </c>
      <c r="BT13" s="559" t="s">
        <v>300</v>
      </c>
      <c r="BU13" s="559" t="s">
        <v>300</v>
      </c>
      <c r="BV13" s="559" t="s">
        <v>300</v>
      </c>
      <c r="BW13" s="559" t="s">
        <v>300</v>
      </c>
      <c r="BX13" s="559" t="s">
        <v>300</v>
      </c>
      <c r="BY13" s="559" t="s">
        <v>300</v>
      </c>
      <c r="BZ13" s="559" t="s">
        <v>300</v>
      </c>
      <c r="CA13" s="559" t="s">
        <v>300</v>
      </c>
      <c r="CB13" s="559" t="s">
        <v>300</v>
      </c>
      <c r="CC13" s="559" t="s">
        <v>300</v>
      </c>
      <c r="CD13" s="554"/>
      <c r="CE13" s="554"/>
      <c r="CF13" s="554"/>
      <c r="CG13" s="554"/>
      <c r="CH13" s="554"/>
      <c r="CI13" s="554"/>
      <c r="CJ13" s="554"/>
      <c r="CK13" s="554"/>
      <c r="CL13" s="554"/>
      <c r="CM13" s="554"/>
      <c r="CN13" s="554"/>
      <c r="CO13" s="554"/>
      <c r="CP13" s="554"/>
      <c r="CQ13" s="554"/>
      <c r="CR13" s="554"/>
      <c r="CS13" s="554"/>
      <c r="CT13" s="554"/>
      <c r="CU13" s="554"/>
      <c r="CV13" s="554"/>
      <c r="CW13" s="554"/>
      <c r="CX13" s="554"/>
      <c r="CY13" s="554"/>
      <c r="CZ13" s="554"/>
      <c r="DA13" s="554"/>
      <c r="DB13" s="554"/>
      <c r="DC13" s="554"/>
      <c r="DD13" s="554"/>
      <c r="DE13" s="534"/>
      <c r="DF13" s="534"/>
      <c r="DG13" s="534"/>
    </row>
    <row r="14" spans="1:111" ht="15" hidden="1" x14ac:dyDescent="0.25">
      <c r="A14" s="549" t="str">
        <f>IF(Control!$D$5="N","-",1)</f>
        <v>-</v>
      </c>
      <c r="B14" s="555" t="s">
        <v>558</v>
      </c>
      <c r="C14" s="555" t="s">
        <v>559</v>
      </c>
      <c r="D14" s="555" t="s">
        <v>560</v>
      </c>
      <c r="E14" s="556" t="s">
        <v>22</v>
      </c>
      <c r="F14" s="556" t="s">
        <v>22</v>
      </c>
      <c r="G14" s="556" t="str">
        <f>IFERROR(IF(MID('Load Criteria'!X14,FIND("_",'Load Criteria'!X14,1)+1,1)=LEFT(Control!$D$23,1),"YES","-"),"-")</f>
        <v>YES</v>
      </c>
      <c r="H14" s="549" t="str">
        <f>IF(INDEX('Weather Cases'!$G$10:$G$94,MATCH('Load Criteria'!X14,'Weather Cases'!$H$10:$H$94,0),1)="H","YES","")</f>
        <v>YES</v>
      </c>
      <c r="I14" s="557" t="s">
        <v>299</v>
      </c>
      <c r="J14" s="550">
        <f>'Weather Cases'!D15</f>
        <v>200</v>
      </c>
      <c r="K14" s="550" t="s">
        <v>88</v>
      </c>
      <c r="L14" s="252"/>
      <c r="M14" s="252"/>
      <c r="N14" s="252"/>
      <c r="O14" s="252"/>
      <c r="P14" s="393"/>
      <c r="Q14" s="393"/>
      <c r="R14" s="393"/>
      <c r="S14" s="393"/>
      <c r="T14" s="393"/>
      <c r="U14" s="550" t="s">
        <v>247</v>
      </c>
      <c r="V14" s="551" t="s">
        <v>300</v>
      </c>
      <c r="W14" s="542" t="str">
        <f t="shared" si="6"/>
        <v>MW0200_A8+E Max</v>
      </c>
      <c r="X14" s="552" t="str">
        <f>I14&amp;TEXT(J14,"0000")&amp;"_"&amp;LEFT(Control!$D$23,1)&amp;LEFT(Control!$D$22,LEN(Control!$D$22)-2)</f>
        <v>MW0200_A8</v>
      </c>
      <c r="Y14" s="552" t="s">
        <v>433</v>
      </c>
      <c r="Z14" s="552" t="str">
        <f t="shared" si="0"/>
        <v>Max</v>
      </c>
      <c r="AA14" s="552" t="str">
        <f t="shared" si="1"/>
        <v/>
      </c>
      <c r="AB14" s="552">
        <v>1</v>
      </c>
      <c r="AC14" s="552">
        <v>1</v>
      </c>
      <c r="AD14" s="552">
        <v>1</v>
      </c>
      <c r="AE14" s="552">
        <v>1</v>
      </c>
      <c r="AF14" s="552">
        <v>1</v>
      </c>
      <c r="AG14" s="542" t="s">
        <v>561</v>
      </c>
      <c r="AH14" s="552">
        <v>0</v>
      </c>
      <c r="AI14" s="552">
        <v>0</v>
      </c>
      <c r="AJ14" s="552">
        <v>1</v>
      </c>
      <c r="AK14" s="552">
        <v>1</v>
      </c>
      <c r="AL14" s="552">
        <v>1</v>
      </c>
      <c r="AM14" s="552">
        <v>0</v>
      </c>
      <c r="AN14" s="552">
        <v>0</v>
      </c>
      <c r="AO14" s="552">
        <v>1</v>
      </c>
      <c r="AP14" s="552">
        <v>1</v>
      </c>
      <c r="AQ14" s="552">
        <v>1</v>
      </c>
      <c r="AR14" s="552">
        <v>1</v>
      </c>
      <c r="AS14" s="552">
        <v>1</v>
      </c>
      <c r="AT14" s="552">
        <v>1</v>
      </c>
      <c r="AU14" s="552"/>
      <c r="AV14" s="553" t="str">
        <f>IF(H14="YES","'"&amp;INDEX('Structure Groups'!$C$12:$C$14,MATCH('Load Criteria'!$B$5,'Structure Groups'!$B$12:$B$14,0),1)&amp;"'","'All'")</f>
        <v>'GL Max 800m'</v>
      </c>
      <c r="AW14" s="552" t="s">
        <v>562</v>
      </c>
      <c r="AX14" s="552"/>
      <c r="AY14" s="552" t="str">
        <f t="shared" si="2"/>
        <v>No</v>
      </c>
      <c r="AZ14" s="554" t="str">
        <f t="shared" si="3"/>
        <v/>
      </c>
      <c r="BA14" s="554" t="str">
        <f t="shared" si="4"/>
        <v/>
      </c>
      <c r="BB14" s="552" t="str">
        <f t="shared" si="5"/>
        <v/>
      </c>
      <c r="BC14" s="559" t="s">
        <v>300</v>
      </c>
      <c r="BD14" s="559" t="s">
        <v>300</v>
      </c>
      <c r="BE14" s="559" t="s">
        <v>300</v>
      </c>
      <c r="BF14" s="559" t="s">
        <v>300</v>
      </c>
      <c r="BG14" s="559" t="s">
        <v>300</v>
      </c>
      <c r="BH14" s="559" t="s">
        <v>300</v>
      </c>
      <c r="BI14" s="559" t="s">
        <v>300</v>
      </c>
      <c r="BJ14" s="559" t="s">
        <v>300</v>
      </c>
      <c r="BK14" s="559" t="s">
        <v>300</v>
      </c>
      <c r="BL14" s="559" t="s">
        <v>300</v>
      </c>
      <c r="BM14" s="559" t="s">
        <v>300</v>
      </c>
      <c r="BN14" s="559" t="s">
        <v>300</v>
      </c>
      <c r="BO14" s="559" t="s">
        <v>300</v>
      </c>
      <c r="BP14" s="559" t="s">
        <v>300</v>
      </c>
      <c r="BQ14" s="559" t="s">
        <v>300</v>
      </c>
      <c r="BR14" s="559" t="s">
        <v>300</v>
      </c>
      <c r="BS14" s="559" t="s">
        <v>300</v>
      </c>
      <c r="BT14" s="559" t="s">
        <v>300</v>
      </c>
      <c r="BU14" s="559" t="s">
        <v>300</v>
      </c>
      <c r="BV14" s="559" t="s">
        <v>300</v>
      </c>
      <c r="BW14" s="559" t="s">
        <v>300</v>
      </c>
      <c r="BX14" s="559" t="s">
        <v>300</v>
      </c>
      <c r="BY14" s="559" t="s">
        <v>300</v>
      </c>
      <c r="BZ14" s="559" t="s">
        <v>300</v>
      </c>
      <c r="CA14" s="559" t="s">
        <v>300</v>
      </c>
      <c r="CB14" s="559" t="s">
        <v>300</v>
      </c>
      <c r="CC14" s="559" t="s">
        <v>300</v>
      </c>
      <c r="CD14" s="554"/>
      <c r="CE14" s="554"/>
      <c r="CF14" s="554"/>
      <c r="CG14" s="554"/>
      <c r="CH14" s="554"/>
      <c r="CI14" s="554"/>
      <c r="CJ14" s="554"/>
      <c r="CK14" s="554"/>
      <c r="CL14" s="554"/>
      <c r="CM14" s="554"/>
      <c r="CN14" s="554"/>
      <c r="CO14" s="554"/>
      <c r="CP14" s="554"/>
      <c r="CQ14" s="554"/>
      <c r="CR14" s="554"/>
      <c r="CS14" s="554"/>
      <c r="CT14" s="554"/>
      <c r="CU14" s="554"/>
      <c r="CV14" s="554"/>
      <c r="CW14" s="554"/>
      <c r="CX14" s="554"/>
      <c r="CY14" s="554"/>
      <c r="CZ14" s="554"/>
      <c r="DA14" s="554"/>
      <c r="DB14" s="554"/>
      <c r="DC14" s="554"/>
      <c r="DD14" s="554"/>
      <c r="DE14" s="534"/>
      <c r="DF14" s="534"/>
      <c r="DG14" s="534"/>
    </row>
    <row r="15" spans="1:111" ht="15" hidden="1" x14ac:dyDescent="0.25">
      <c r="A15" s="549" t="str">
        <f>IF(Control!$D$5="N","-",1)</f>
        <v>-</v>
      </c>
      <c r="B15" s="555" t="s">
        <v>558</v>
      </c>
      <c r="C15" s="555" t="s">
        <v>559</v>
      </c>
      <c r="D15" s="555" t="s">
        <v>560</v>
      </c>
      <c r="E15" s="556" t="s">
        <v>22</v>
      </c>
      <c r="F15" s="556" t="s">
        <v>22</v>
      </c>
      <c r="G15" s="556" t="str">
        <f>IFERROR(IF(MID('Load Criteria'!X15,FIND("_",'Load Criteria'!X15,1)+1,1)=LEFT(Control!$D$23,1),"YES","-"),"-")</f>
        <v>YES</v>
      </c>
      <c r="H15" s="549" t="str">
        <f>IF(INDEX('Weather Cases'!$G$10:$G$94,MATCH('Load Criteria'!X15,'Weather Cases'!$H$10:$H$94,0),1)="H","YES","")</f>
        <v>YES</v>
      </c>
      <c r="I15" s="557" t="s">
        <v>299</v>
      </c>
      <c r="J15" s="550">
        <f>'Weather Cases'!D16</f>
        <v>150</v>
      </c>
      <c r="K15" s="550" t="s">
        <v>88</v>
      </c>
      <c r="L15" s="252"/>
      <c r="M15" s="252"/>
      <c r="N15" s="252"/>
      <c r="O15" s="252"/>
      <c r="P15" s="393"/>
      <c r="Q15" s="393"/>
      <c r="R15" s="393"/>
      <c r="S15" s="393"/>
      <c r="T15" s="393"/>
      <c r="U15" s="550" t="s">
        <v>247</v>
      </c>
      <c r="V15" s="551" t="s">
        <v>300</v>
      </c>
      <c r="W15" s="542" t="str">
        <f t="shared" si="6"/>
        <v>MW0150_A8+E Max</v>
      </c>
      <c r="X15" s="552" t="str">
        <f>I15&amp;TEXT(J15,"0000")&amp;"_"&amp;LEFT(Control!$D$23,1)&amp;LEFT(Control!$D$22,LEN(Control!$D$22)-2)</f>
        <v>MW0150_A8</v>
      </c>
      <c r="Y15" s="552" t="s">
        <v>433</v>
      </c>
      <c r="Z15" s="552" t="str">
        <f t="shared" si="0"/>
        <v>Max</v>
      </c>
      <c r="AA15" s="552" t="str">
        <f t="shared" si="1"/>
        <v/>
      </c>
      <c r="AB15" s="552">
        <v>1</v>
      </c>
      <c r="AC15" s="552">
        <v>1</v>
      </c>
      <c r="AD15" s="552">
        <v>1</v>
      </c>
      <c r="AE15" s="552">
        <v>1</v>
      </c>
      <c r="AF15" s="552">
        <v>1</v>
      </c>
      <c r="AG15" s="542" t="s">
        <v>561</v>
      </c>
      <c r="AH15" s="552">
        <v>0</v>
      </c>
      <c r="AI15" s="552">
        <v>0</v>
      </c>
      <c r="AJ15" s="552">
        <v>1</v>
      </c>
      <c r="AK15" s="552">
        <v>1</v>
      </c>
      <c r="AL15" s="552">
        <v>1</v>
      </c>
      <c r="AM15" s="552">
        <v>0</v>
      </c>
      <c r="AN15" s="552">
        <v>0</v>
      </c>
      <c r="AO15" s="552">
        <v>1</v>
      </c>
      <c r="AP15" s="552">
        <v>1</v>
      </c>
      <c r="AQ15" s="552">
        <v>1</v>
      </c>
      <c r="AR15" s="552">
        <v>1</v>
      </c>
      <c r="AS15" s="552">
        <v>1</v>
      </c>
      <c r="AT15" s="552">
        <v>1</v>
      </c>
      <c r="AU15" s="552"/>
      <c r="AV15" s="553" t="str">
        <f>IF(H15="YES","'"&amp;INDEX('Structure Groups'!$C$12:$C$14,MATCH('Load Criteria'!$B$5,'Structure Groups'!$B$12:$B$14,0),1)&amp;"'","'All'")</f>
        <v>'GL Max 800m'</v>
      </c>
      <c r="AW15" s="552" t="s">
        <v>562</v>
      </c>
      <c r="AX15" s="552"/>
      <c r="AY15" s="552" t="str">
        <f t="shared" si="2"/>
        <v>No</v>
      </c>
      <c r="AZ15" s="554" t="str">
        <f t="shared" si="3"/>
        <v/>
      </c>
      <c r="BA15" s="554" t="str">
        <f t="shared" si="4"/>
        <v/>
      </c>
      <c r="BB15" s="552" t="str">
        <f t="shared" si="5"/>
        <v/>
      </c>
      <c r="BC15" s="559" t="s">
        <v>300</v>
      </c>
      <c r="BD15" s="559" t="s">
        <v>300</v>
      </c>
      <c r="BE15" s="559" t="s">
        <v>300</v>
      </c>
      <c r="BF15" s="559" t="s">
        <v>300</v>
      </c>
      <c r="BG15" s="559" t="s">
        <v>300</v>
      </c>
      <c r="BH15" s="559" t="s">
        <v>300</v>
      </c>
      <c r="BI15" s="559" t="s">
        <v>300</v>
      </c>
      <c r="BJ15" s="559" t="s">
        <v>300</v>
      </c>
      <c r="BK15" s="559" t="s">
        <v>300</v>
      </c>
      <c r="BL15" s="559" t="s">
        <v>300</v>
      </c>
      <c r="BM15" s="559" t="s">
        <v>300</v>
      </c>
      <c r="BN15" s="559" t="s">
        <v>300</v>
      </c>
      <c r="BO15" s="559" t="s">
        <v>300</v>
      </c>
      <c r="BP15" s="559" t="s">
        <v>300</v>
      </c>
      <c r="BQ15" s="559" t="s">
        <v>300</v>
      </c>
      <c r="BR15" s="559" t="s">
        <v>300</v>
      </c>
      <c r="BS15" s="559" t="s">
        <v>300</v>
      </c>
      <c r="BT15" s="559" t="s">
        <v>300</v>
      </c>
      <c r="BU15" s="559" t="s">
        <v>300</v>
      </c>
      <c r="BV15" s="559" t="s">
        <v>300</v>
      </c>
      <c r="BW15" s="559" t="s">
        <v>300</v>
      </c>
      <c r="BX15" s="559" t="s">
        <v>300</v>
      </c>
      <c r="BY15" s="559" t="s">
        <v>300</v>
      </c>
      <c r="BZ15" s="559" t="s">
        <v>300</v>
      </c>
      <c r="CA15" s="559" t="s">
        <v>300</v>
      </c>
      <c r="CB15" s="559" t="s">
        <v>300</v>
      </c>
      <c r="CC15" s="559" t="s">
        <v>300</v>
      </c>
      <c r="CD15" s="554"/>
      <c r="CE15" s="554"/>
      <c r="CF15" s="554"/>
      <c r="CG15" s="554"/>
      <c r="CH15" s="554"/>
      <c r="CI15" s="554"/>
      <c r="CJ15" s="554"/>
      <c r="CK15" s="554"/>
      <c r="CL15" s="554"/>
      <c r="CM15" s="554"/>
      <c r="CN15" s="554"/>
      <c r="CO15" s="554"/>
      <c r="CP15" s="554"/>
      <c r="CQ15" s="554"/>
      <c r="CR15" s="554"/>
      <c r="CS15" s="554"/>
      <c r="CT15" s="554"/>
      <c r="CU15" s="554"/>
      <c r="CV15" s="554"/>
      <c r="CW15" s="554"/>
      <c r="CX15" s="554"/>
      <c r="CY15" s="554"/>
      <c r="CZ15" s="554"/>
      <c r="DA15" s="554"/>
      <c r="DB15" s="554"/>
      <c r="DC15" s="554"/>
      <c r="DD15" s="554"/>
      <c r="DE15" s="534"/>
      <c r="DF15" s="534"/>
      <c r="DG15" s="534"/>
    </row>
    <row r="16" spans="1:111" ht="15" hidden="1" x14ac:dyDescent="0.25">
      <c r="A16" s="549" t="str">
        <f>IF(Control!$D$5="N","-",1)</f>
        <v>-</v>
      </c>
      <c r="B16" s="555" t="s">
        <v>558</v>
      </c>
      <c r="C16" s="555" t="s">
        <v>559</v>
      </c>
      <c r="D16" s="555" t="s">
        <v>560</v>
      </c>
      <c r="E16" s="556" t="s">
        <v>22</v>
      </c>
      <c r="F16" s="556" t="s">
        <v>22</v>
      </c>
      <c r="G16" s="556" t="str">
        <f>IFERROR(IF(MID('Load Criteria'!X16,FIND("_",'Load Criteria'!X16,1)+1,1)=LEFT(Control!$D$23,1),"YES","-"),"-")</f>
        <v>YES</v>
      </c>
      <c r="H16" s="549" t="str">
        <f>IF(INDEX('Weather Cases'!$G$10:$G$94,MATCH('Load Criteria'!X16,'Weather Cases'!$H$10:$H$94,0),1)="H","YES","")</f>
        <v>YES</v>
      </c>
      <c r="I16" s="557" t="s">
        <v>299</v>
      </c>
      <c r="J16" s="550">
        <f>'Weather Cases'!D17</f>
        <v>100</v>
      </c>
      <c r="K16" s="550" t="s">
        <v>88</v>
      </c>
      <c r="L16" s="252"/>
      <c r="M16" s="252"/>
      <c r="N16" s="252"/>
      <c r="O16" s="252"/>
      <c r="P16" s="393"/>
      <c r="Q16" s="393"/>
      <c r="R16" s="393"/>
      <c r="S16" s="393"/>
      <c r="T16" s="393"/>
      <c r="U16" s="550" t="s">
        <v>247</v>
      </c>
      <c r="V16" s="551" t="s">
        <v>300</v>
      </c>
      <c r="W16" s="542" t="str">
        <f t="shared" si="6"/>
        <v>MW0100_A8+E Max</v>
      </c>
      <c r="X16" s="552" t="str">
        <f>I16&amp;TEXT(J16,"0000")&amp;"_"&amp;LEFT(Control!$D$23,1)&amp;LEFT(Control!$D$22,LEN(Control!$D$22)-2)</f>
        <v>MW0100_A8</v>
      </c>
      <c r="Y16" s="552" t="s">
        <v>433</v>
      </c>
      <c r="Z16" s="552" t="str">
        <f t="shared" si="0"/>
        <v>Max</v>
      </c>
      <c r="AA16" s="552" t="str">
        <f t="shared" si="1"/>
        <v/>
      </c>
      <c r="AB16" s="552">
        <v>1</v>
      </c>
      <c r="AC16" s="552">
        <v>1</v>
      </c>
      <c r="AD16" s="552">
        <v>1</v>
      </c>
      <c r="AE16" s="552">
        <v>1</v>
      </c>
      <c r="AF16" s="552">
        <v>1</v>
      </c>
      <c r="AG16" s="542" t="s">
        <v>561</v>
      </c>
      <c r="AH16" s="552">
        <v>0</v>
      </c>
      <c r="AI16" s="552">
        <v>0</v>
      </c>
      <c r="AJ16" s="552">
        <v>1</v>
      </c>
      <c r="AK16" s="552">
        <v>1</v>
      </c>
      <c r="AL16" s="552">
        <v>1</v>
      </c>
      <c r="AM16" s="552">
        <v>0</v>
      </c>
      <c r="AN16" s="552">
        <v>0</v>
      </c>
      <c r="AO16" s="552">
        <v>1</v>
      </c>
      <c r="AP16" s="552">
        <v>1</v>
      </c>
      <c r="AQ16" s="552">
        <v>1</v>
      </c>
      <c r="AR16" s="552">
        <v>1</v>
      </c>
      <c r="AS16" s="552">
        <v>1</v>
      </c>
      <c r="AT16" s="552">
        <v>1</v>
      </c>
      <c r="AU16" s="552"/>
      <c r="AV16" s="553" t="str">
        <f>IF(H16="YES","'"&amp;INDEX('Structure Groups'!$C$12:$C$14,MATCH('Load Criteria'!$B$5,'Structure Groups'!$B$12:$B$14,0),1)&amp;"'","'All'")</f>
        <v>'GL Max 800m'</v>
      </c>
      <c r="AW16" s="552" t="s">
        <v>562</v>
      </c>
      <c r="AX16" s="552"/>
      <c r="AY16" s="552" t="str">
        <f t="shared" si="2"/>
        <v>No</v>
      </c>
      <c r="AZ16" s="554" t="str">
        <f t="shared" si="3"/>
        <v/>
      </c>
      <c r="BA16" s="554" t="str">
        <f t="shared" si="4"/>
        <v/>
      </c>
      <c r="BB16" s="552" t="str">
        <f t="shared" si="5"/>
        <v/>
      </c>
      <c r="BC16" s="559" t="s">
        <v>300</v>
      </c>
      <c r="BD16" s="559" t="s">
        <v>300</v>
      </c>
      <c r="BE16" s="559" t="s">
        <v>300</v>
      </c>
      <c r="BF16" s="559" t="s">
        <v>300</v>
      </c>
      <c r="BG16" s="559" t="s">
        <v>300</v>
      </c>
      <c r="BH16" s="559" t="s">
        <v>300</v>
      </c>
      <c r="BI16" s="559" t="s">
        <v>300</v>
      </c>
      <c r="BJ16" s="559" t="s">
        <v>300</v>
      </c>
      <c r="BK16" s="559" t="s">
        <v>300</v>
      </c>
      <c r="BL16" s="559" t="s">
        <v>300</v>
      </c>
      <c r="BM16" s="559" t="s">
        <v>300</v>
      </c>
      <c r="BN16" s="559" t="s">
        <v>300</v>
      </c>
      <c r="BO16" s="559" t="s">
        <v>300</v>
      </c>
      <c r="BP16" s="559" t="s">
        <v>300</v>
      </c>
      <c r="BQ16" s="559" t="s">
        <v>300</v>
      </c>
      <c r="BR16" s="559" t="s">
        <v>300</v>
      </c>
      <c r="BS16" s="559" t="s">
        <v>300</v>
      </c>
      <c r="BT16" s="559" t="s">
        <v>300</v>
      </c>
      <c r="BU16" s="559" t="s">
        <v>300</v>
      </c>
      <c r="BV16" s="559" t="s">
        <v>300</v>
      </c>
      <c r="BW16" s="559" t="s">
        <v>300</v>
      </c>
      <c r="BX16" s="559" t="s">
        <v>300</v>
      </c>
      <c r="BY16" s="559" t="s">
        <v>300</v>
      </c>
      <c r="BZ16" s="559" t="s">
        <v>300</v>
      </c>
      <c r="CA16" s="559" t="s">
        <v>300</v>
      </c>
      <c r="CB16" s="559" t="s">
        <v>300</v>
      </c>
      <c r="CC16" s="559" t="s">
        <v>300</v>
      </c>
      <c r="CD16" s="554"/>
      <c r="CE16" s="554"/>
      <c r="CF16" s="554"/>
      <c r="CG16" s="554"/>
      <c r="CH16" s="554"/>
      <c r="CI16" s="554"/>
      <c r="CJ16" s="554"/>
      <c r="CK16" s="554"/>
      <c r="CL16" s="554"/>
      <c r="CM16" s="554"/>
      <c r="CN16" s="554"/>
      <c r="CO16" s="554"/>
      <c r="CP16" s="554"/>
      <c r="CQ16" s="554"/>
      <c r="CR16" s="554"/>
      <c r="CS16" s="554"/>
      <c r="CT16" s="554"/>
      <c r="CU16" s="554"/>
      <c r="CV16" s="554"/>
      <c r="CW16" s="554"/>
      <c r="CX16" s="554"/>
      <c r="CY16" s="554"/>
      <c r="CZ16" s="554"/>
      <c r="DA16" s="554"/>
      <c r="DB16" s="554"/>
      <c r="DC16" s="554"/>
      <c r="DD16" s="554"/>
      <c r="DE16" s="534"/>
      <c r="DF16" s="534"/>
      <c r="DG16" s="534"/>
    </row>
    <row r="17" spans="1:111" ht="15" hidden="1" x14ac:dyDescent="0.25">
      <c r="A17" s="549" t="str">
        <f>IF(Control!$D$5="N","-",1)</f>
        <v>-</v>
      </c>
      <c r="B17" s="555" t="s">
        <v>558</v>
      </c>
      <c r="C17" s="555" t="s">
        <v>559</v>
      </c>
      <c r="D17" s="555" t="s">
        <v>560</v>
      </c>
      <c r="E17" s="556" t="s">
        <v>22</v>
      </c>
      <c r="F17" s="556" t="s">
        <v>22</v>
      </c>
      <c r="G17" s="556" t="str">
        <f>IFERROR(IF(MID('Load Criteria'!X17,FIND("_",'Load Criteria'!X17,1)+1,1)=LEFT(Control!$D$23,1),"YES","-"),"-")</f>
        <v>YES</v>
      </c>
      <c r="H17" s="549" t="str">
        <f>IF(INDEX('Weather Cases'!$G$10:$G$94,MATCH('Load Criteria'!X17,'Weather Cases'!$H$10:$H$94,0),1)="H","YES","")</f>
        <v>YES</v>
      </c>
      <c r="I17" s="557" t="s">
        <v>299</v>
      </c>
      <c r="J17" s="550">
        <f>'Weather Cases'!D18</f>
        <v>75</v>
      </c>
      <c r="K17" s="550" t="s">
        <v>88</v>
      </c>
      <c r="L17" s="252"/>
      <c r="M17" s="252"/>
      <c r="N17" s="252"/>
      <c r="O17" s="252"/>
      <c r="P17" s="393"/>
      <c r="Q17" s="393"/>
      <c r="R17" s="393"/>
      <c r="S17" s="393"/>
      <c r="T17" s="393"/>
      <c r="U17" s="550" t="s">
        <v>247</v>
      </c>
      <c r="V17" s="551" t="s">
        <v>300</v>
      </c>
      <c r="W17" s="542" t="str">
        <f t="shared" si="6"/>
        <v>MW0075_A8+E Max</v>
      </c>
      <c r="X17" s="552" t="str">
        <f>I17&amp;TEXT(J17,"0000")&amp;"_"&amp;LEFT(Control!$D$23,1)&amp;LEFT(Control!$D$22,LEN(Control!$D$22)-2)</f>
        <v>MW0075_A8</v>
      </c>
      <c r="Y17" s="552" t="s">
        <v>433</v>
      </c>
      <c r="Z17" s="552" t="str">
        <f t="shared" si="0"/>
        <v>Max</v>
      </c>
      <c r="AA17" s="552" t="str">
        <f t="shared" si="1"/>
        <v/>
      </c>
      <c r="AB17" s="552">
        <v>1</v>
      </c>
      <c r="AC17" s="552">
        <v>1</v>
      </c>
      <c r="AD17" s="552">
        <v>1</v>
      </c>
      <c r="AE17" s="552">
        <v>1</v>
      </c>
      <c r="AF17" s="552">
        <v>1</v>
      </c>
      <c r="AG17" s="542" t="s">
        <v>561</v>
      </c>
      <c r="AH17" s="552">
        <v>0</v>
      </c>
      <c r="AI17" s="552">
        <v>0</v>
      </c>
      <c r="AJ17" s="552">
        <v>1</v>
      </c>
      <c r="AK17" s="552">
        <v>1</v>
      </c>
      <c r="AL17" s="552">
        <v>1</v>
      </c>
      <c r="AM17" s="552">
        <v>0</v>
      </c>
      <c r="AN17" s="552">
        <v>0</v>
      </c>
      <c r="AO17" s="552">
        <v>1</v>
      </c>
      <c r="AP17" s="552">
        <v>1</v>
      </c>
      <c r="AQ17" s="552">
        <v>1</v>
      </c>
      <c r="AR17" s="552">
        <v>1</v>
      </c>
      <c r="AS17" s="552">
        <v>1</v>
      </c>
      <c r="AT17" s="552">
        <v>1</v>
      </c>
      <c r="AU17" s="552"/>
      <c r="AV17" s="553" t="str">
        <f>IF(H17="YES","'"&amp;INDEX('Structure Groups'!$C$12:$C$14,MATCH('Load Criteria'!$B$5,'Structure Groups'!$B$12:$B$14,0),1)&amp;"'","'All'")</f>
        <v>'GL Max 800m'</v>
      </c>
      <c r="AW17" s="552" t="s">
        <v>562</v>
      </c>
      <c r="AX17" s="552"/>
      <c r="AY17" s="552" t="str">
        <f t="shared" si="2"/>
        <v>No</v>
      </c>
      <c r="AZ17" s="554" t="str">
        <f t="shared" si="3"/>
        <v/>
      </c>
      <c r="BA17" s="554" t="str">
        <f t="shared" si="4"/>
        <v/>
      </c>
      <c r="BB17" s="552" t="str">
        <f t="shared" si="5"/>
        <v/>
      </c>
      <c r="BC17" s="559" t="s">
        <v>300</v>
      </c>
      <c r="BD17" s="559" t="s">
        <v>300</v>
      </c>
      <c r="BE17" s="559" t="s">
        <v>300</v>
      </c>
      <c r="BF17" s="559" t="s">
        <v>300</v>
      </c>
      <c r="BG17" s="559" t="s">
        <v>300</v>
      </c>
      <c r="BH17" s="559" t="s">
        <v>300</v>
      </c>
      <c r="BI17" s="559" t="s">
        <v>300</v>
      </c>
      <c r="BJ17" s="559" t="s">
        <v>300</v>
      </c>
      <c r="BK17" s="559" t="s">
        <v>300</v>
      </c>
      <c r="BL17" s="559" t="s">
        <v>300</v>
      </c>
      <c r="BM17" s="559" t="s">
        <v>300</v>
      </c>
      <c r="BN17" s="559" t="s">
        <v>300</v>
      </c>
      <c r="BO17" s="559" t="s">
        <v>300</v>
      </c>
      <c r="BP17" s="559" t="s">
        <v>300</v>
      </c>
      <c r="BQ17" s="559" t="s">
        <v>300</v>
      </c>
      <c r="BR17" s="559" t="s">
        <v>300</v>
      </c>
      <c r="BS17" s="559" t="s">
        <v>300</v>
      </c>
      <c r="BT17" s="559" t="s">
        <v>300</v>
      </c>
      <c r="BU17" s="559" t="s">
        <v>300</v>
      </c>
      <c r="BV17" s="559" t="s">
        <v>300</v>
      </c>
      <c r="BW17" s="559" t="s">
        <v>300</v>
      </c>
      <c r="BX17" s="559" t="s">
        <v>300</v>
      </c>
      <c r="BY17" s="559" t="s">
        <v>300</v>
      </c>
      <c r="BZ17" s="559" t="s">
        <v>300</v>
      </c>
      <c r="CA17" s="559" t="s">
        <v>300</v>
      </c>
      <c r="CB17" s="559" t="s">
        <v>300</v>
      </c>
      <c r="CC17" s="559" t="s">
        <v>300</v>
      </c>
      <c r="CD17" s="554"/>
      <c r="CE17" s="554"/>
      <c r="CF17" s="554"/>
      <c r="CG17" s="554"/>
      <c r="CH17" s="554"/>
      <c r="CI17" s="554"/>
      <c r="CJ17" s="554"/>
      <c r="CK17" s="554"/>
      <c r="CL17" s="554"/>
      <c r="CM17" s="554"/>
      <c r="CN17" s="554"/>
      <c r="CO17" s="554"/>
      <c r="CP17" s="554"/>
      <c r="CQ17" s="554"/>
      <c r="CR17" s="554"/>
      <c r="CS17" s="554"/>
      <c r="CT17" s="554"/>
      <c r="CU17" s="554"/>
      <c r="CV17" s="554"/>
      <c r="CW17" s="554"/>
      <c r="CX17" s="554"/>
      <c r="CY17" s="554"/>
      <c r="CZ17" s="554"/>
      <c r="DA17" s="554"/>
      <c r="DB17" s="554"/>
      <c r="DC17" s="554"/>
      <c r="DD17" s="554"/>
      <c r="DE17" s="534"/>
      <c r="DF17" s="534"/>
      <c r="DG17" s="534"/>
    </row>
    <row r="18" spans="1:111" ht="15" hidden="1" x14ac:dyDescent="0.25">
      <c r="A18" s="549" t="str">
        <f>IF(Control!$D$5="N","-",1)</f>
        <v>-</v>
      </c>
      <c r="B18" s="555" t="s">
        <v>558</v>
      </c>
      <c r="C18" s="555" t="s">
        <v>559</v>
      </c>
      <c r="D18" s="555" t="s">
        <v>560</v>
      </c>
      <c r="E18" s="556" t="s">
        <v>22</v>
      </c>
      <c r="F18" s="556" t="s">
        <v>22</v>
      </c>
      <c r="G18" s="556" t="str">
        <f>IFERROR(IF(MID('Load Criteria'!X18,FIND("_",'Load Criteria'!X18,1)+1,1)=LEFT(Control!$D$23,1),"YES","-"),"-")</f>
        <v>YES</v>
      </c>
      <c r="H18" s="549" t="str">
        <f>IF(INDEX('Weather Cases'!$G$10:$G$94,MATCH('Load Criteria'!X18,'Weather Cases'!$H$10:$H$94,0),1)="H","YES","")</f>
        <v>YES</v>
      </c>
      <c r="I18" s="557" t="s">
        <v>299</v>
      </c>
      <c r="J18" s="550">
        <f>'Weather Cases'!D19</f>
        <v>50</v>
      </c>
      <c r="K18" s="550" t="s">
        <v>88</v>
      </c>
      <c r="L18" s="252"/>
      <c r="M18" s="252"/>
      <c r="N18" s="252"/>
      <c r="O18" s="252"/>
      <c r="P18" s="393"/>
      <c r="Q18" s="393"/>
      <c r="R18" s="393"/>
      <c r="S18" s="393"/>
      <c r="T18" s="393"/>
      <c r="U18" s="550" t="s">
        <v>247</v>
      </c>
      <c r="V18" s="551" t="s">
        <v>300</v>
      </c>
      <c r="W18" s="542" t="str">
        <f t="shared" si="6"/>
        <v>MW0050_A8+E Max</v>
      </c>
      <c r="X18" s="552" t="str">
        <f>I18&amp;TEXT(J18,"0000")&amp;"_"&amp;LEFT(Control!$D$23,1)&amp;LEFT(Control!$D$22,LEN(Control!$D$22)-2)</f>
        <v>MW0050_A8</v>
      </c>
      <c r="Y18" s="552" t="s">
        <v>433</v>
      </c>
      <c r="Z18" s="552" t="str">
        <f t="shared" si="0"/>
        <v>Max</v>
      </c>
      <c r="AA18" s="552" t="str">
        <f t="shared" si="1"/>
        <v/>
      </c>
      <c r="AB18" s="552">
        <v>1</v>
      </c>
      <c r="AC18" s="552">
        <v>1</v>
      </c>
      <c r="AD18" s="552">
        <v>1</v>
      </c>
      <c r="AE18" s="552">
        <v>1</v>
      </c>
      <c r="AF18" s="552">
        <v>1</v>
      </c>
      <c r="AG18" s="542" t="s">
        <v>561</v>
      </c>
      <c r="AH18" s="552">
        <v>0</v>
      </c>
      <c r="AI18" s="552">
        <v>0</v>
      </c>
      <c r="AJ18" s="552">
        <v>1</v>
      </c>
      <c r="AK18" s="552">
        <v>1</v>
      </c>
      <c r="AL18" s="552">
        <v>1</v>
      </c>
      <c r="AM18" s="552">
        <v>0</v>
      </c>
      <c r="AN18" s="552">
        <v>0</v>
      </c>
      <c r="AO18" s="552">
        <v>1</v>
      </c>
      <c r="AP18" s="552">
        <v>1</v>
      </c>
      <c r="AQ18" s="552">
        <v>1</v>
      </c>
      <c r="AR18" s="552">
        <v>1</v>
      </c>
      <c r="AS18" s="552">
        <v>1</v>
      </c>
      <c r="AT18" s="552">
        <v>1</v>
      </c>
      <c r="AU18" s="552"/>
      <c r="AV18" s="553" t="str">
        <f>IF(H18="YES","'"&amp;INDEX('Structure Groups'!$C$12:$C$14,MATCH('Load Criteria'!$B$5,'Structure Groups'!$B$12:$B$14,0),1)&amp;"'","'All'")</f>
        <v>'GL Max 800m'</v>
      </c>
      <c r="AW18" s="552" t="s">
        <v>562</v>
      </c>
      <c r="AX18" s="552"/>
      <c r="AY18" s="552" t="str">
        <f t="shared" si="2"/>
        <v>No</v>
      </c>
      <c r="AZ18" s="554" t="str">
        <f t="shared" si="3"/>
        <v/>
      </c>
      <c r="BA18" s="554" t="str">
        <f t="shared" si="4"/>
        <v/>
      </c>
      <c r="BB18" s="552" t="str">
        <f t="shared" si="5"/>
        <v/>
      </c>
      <c r="BC18" s="559" t="s">
        <v>300</v>
      </c>
      <c r="BD18" s="559" t="s">
        <v>300</v>
      </c>
      <c r="BE18" s="559" t="s">
        <v>300</v>
      </c>
      <c r="BF18" s="559" t="s">
        <v>300</v>
      </c>
      <c r="BG18" s="559" t="s">
        <v>300</v>
      </c>
      <c r="BH18" s="559" t="s">
        <v>300</v>
      </c>
      <c r="BI18" s="559" t="s">
        <v>300</v>
      </c>
      <c r="BJ18" s="559" t="s">
        <v>300</v>
      </c>
      <c r="BK18" s="559" t="s">
        <v>300</v>
      </c>
      <c r="BL18" s="559" t="s">
        <v>300</v>
      </c>
      <c r="BM18" s="559" t="s">
        <v>300</v>
      </c>
      <c r="BN18" s="559" t="s">
        <v>300</v>
      </c>
      <c r="BO18" s="559" t="s">
        <v>300</v>
      </c>
      <c r="BP18" s="559" t="s">
        <v>300</v>
      </c>
      <c r="BQ18" s="559" t="s">
        <v>300</v>
      </c>
      <c r="BR18" s="559" t="s">
        <v>300</v>
      </c>
      <c r="BS18" s="559" t="s">
        <v>300</v>
      </c>
      <c r="BT18" s="559" t="s">
        <v>300</v>
      </c>
      <c r="BU18" s="559" t="s">
        <v>300</v>
      </c>
      <c r="BV18" s="559" t="s">
        <v>300</v>
      </c>
      <c r="BW18" s="559" t="s">
        <v>300</v>
      </c>
      <c r="BX18" s="559" t="s">
        <v>300</v>
      </c>
      <c r="BY18" s="559" t="s">
        <v>300</v>
      </c>
      <c r="BZ18" s="559" t="s">
        <v>300</v>
      </c>
      <c r="CA18" s="559" t="s">
        <v>300</v>
      </c>
      <c r="CB18" s="559" t="s">
        <v>300</v>
      </c>
      <c r="CC18" s="559" t="s">
        <v>300</v>
      </c>
      <c r="CD18" s="554"/>
      <c r="CE18" s="554"/>
      <c r="CF18" s="554"/>
      <c r="CG18" s="554"/>
      <c r="CH18" s="554"/>
      <c r="CI18" s="554"/>
      <c r="CJ18" s="554"/>
      <c r="CK18" s="554"/>
      <c r="CL18" s="554"/>
      <c r="CM18" s="554"/>
      <c r="CN18" s="554"/>
      <c r="CO18" s="554"/>
      <c r="CP18" s="554"/>
      <c r="CQ18" s="554"/>
      <c r="CR18" s="554"/>
      <c r="CS18" s="554"/>
      <c r="CT18" s="554"/>
      <c r="CU18" s="554"/>
      <c r="CV18" s="554"/>
      <c r="CW18" s="554"/>
      <c r="CX18" s="554"/>
      <c r="CY18" s="554"/>
      <c r="CZ18" s="554"/>
      <c r="DA18" s="554"/>
      <c r="DB18" s="554"/>
      <c r="DC18" s="554"/>
      <c r="DD18" s="554"/>
      <c r="DE18" s="534"/>
      <c r="DF18" s="534"/>
      <c r="DG18" s="534"/>
    </row>
    <row r="19" spans="1:111" ht="15" hidden="1" x14ac:dyDescent="0.25">
      <c r="A19" s="549" t="str">
        <f>IF(Control!$D$5="N","-",1)</f>
        <v>-</v>
      </c>
      <c r="B19" s="555" t="s">
        <v>558</v>
      </c>
      <c r="C19" s="555" t="s">
        <v>559</v>
      </c>
      <c r="D19" s="555" t="s">
        <v>560</v>
      </c>
      <c r="E19" s="556" t="s">
        <v>22</v>
      </c>
      <c r="F19" s="556" t="s">
        <v>22</v>
      </c>
      <c r="G19" s="556" t="str">
        <f>IFERROR(IF(MID('Load Criteria'!X19,FIND("_",'Load Criteria'!X19,1)+1,1)=LEFT(Control!$D$23,1),"YES","-"),"-")</f>
        <v>YES</v>
      </c>
      <c r="H19" s="549" t="str">
        <f>IF(INDEX('Weather Cases'!$G$10:$G$94,MATCH('Load Criteria'!X19,'Weather Cases'!$H$10:$H$94,0),1)="H","YES","")</f>
        <v>YES</v>
      </c>
      <c r="I19" s="557" t="s">
        <v>299</v>
      </c>
      <c r="J19" s="550">
        <f>'Weather Cases'!D20</f>
        <v>25</v>
      </c>
      <c r="K19" s="550" t="s">
        <v>88</v>
      </c>
      <c r="L19" s="252"/>
      <c r="M19" s="252"/>
      <c r="N19" s="252"/>
      <c r="O19" s="252"/>
      <c r="P19" s="393"/>
      <c r="Q19" s="393"/>
      <c r="R19" s="393"/>
      <c r="S19" s="393"/>
      <c r="T19" s="393"/>
      <c r="U19" s="550" t="s">
        <v>247</v>
      </c>
      <c r="V19" s="551" t="s">
        <v>300</v>
      </c>
      <c r="W19" s="542" t="str">
        <f t="shared" si="6"/>
        <v>MW0025_A8+E Max</v>
      </c>
      <c r="X19" s="552" t="str">
        <f>I19&amp;TEXT(J19,"0000")&amp;"_"&amp;LEFT(Control!$D$23,1)&amp;LEFT(Control!$D$22,LEN(Control!$D$22)-2)</f>
        <v>MW0025_A8</v>
      </c>
      <c r="Y19" s="552" t="s">
        <v>433</v>
      </c>
      <c r="Z19" s="552" t="str">
        <f t="shared" si="0"/>
        <v>Max</v>
      </c>
      <c r="AA19" s="552" t="str">
        <f t="shared" si="1"/>
        <v/>
      </c>
      <c r="AB19" s="552">
        <v>1</v>
      </c>
      <c r="AC19" s="552">
        <v>1</v>
      </c>
      <c r="AD19" s="552">
        <v>1</v>
      </c>
      <c r="AE19" s="552">
        <v>1</v>
      </c>
      <c r="AF19" s="552">
        <v>1</v>
      </c>
      <c r="AG19" s="542" t="s">
        <v>561</v>
      </c>
      <c r="AH19" s="552">
        <v>0</v>
      </c>
      <c r="AI19" s="552">
        <v>0</v>
      </c>
      <c r="AJ19" s="552">
        <v>1</v>
      </c>
      <c r="AK19" s="552">
        <v>1</v>
      </c>
      <c r="AL19" s="552">
        <v>1</v>
      </c>
      <c r="AM19" s="552">
        <v>0</v>
      </c>
      <c r="AN19" s="552">
        <v>0</v>
      </c>
      <c r="AO19" s="552">
        <v>1</v>
      </c>
      <c r="AP19" s="552">
        <v>1</v>
      </c>
      <c r="AQ19" s="552">
        <v>1</v>
      </c>
      <c r="AR19" s="552">
        <v>1</v>
      </c>
      <c r="AS19" s="552">
        <v>1</v>
      </c>
      <c r="AT19" s="552">
        <v>1</v>
      </c>
      <c r="AU19" s="552"/>
      <c r="AV19" s="553" t="str">
        <f>IF(H19="YES","'"&amp;INDEX('Structure Groups'!$C$12:$C$14,MATCH('Load Criteria'!$B$5,'Structure Groups'!$B$12:$B$14,0),1)&amp;"'","'All'")</f>
        <v>'GL Max 800m'</v>
      </c>
      <c r="AW19" s="552" t="s">
        <v>562</v>
      </c>
      <c r="AX19" s="552"/>
      <c r="AY19" s="552" t="str">
        <f t="shared" si="2"/>
        <v>No</v>
      </c>
      <c r="AZ19" s="554" t="str">
        <f t="shared" si="3"/>
        <v/>
      </c>
      <c r="BA19" s="554" t="str">
        <f t="shared" si="4"/>
        <v/>
      </c>
      <c r="BB19" s="552" t="str">
        <f t="shared" si="5"/>
        <v/>
      </c>
      <c r="BC19" s="559" t="s">
        <v>300</v>
      </c>
      <c r="BD19" s="559" t="s">
        <v>300</v>
      </c>
      <c r="BE19" s="559" t="s">
        <v>300</v>
      </c>
      <c r="BF19" s="559" t="s">
        <v>300</v>
      </c>
      <c r="BG19" s="559" t="s">
        <v>300</v>
      </c>
      <c r="BH19" s="559" t="s">
        <v>300</v>
      </c>
      <c r="BI19" s="559" t="s">
        <v>300</v>
      </c>
      <c r="BJ19" s="559" t="s">
        <v>300</v>
      </c>
      <c r="BK19" s="559" t="s">
        <v>300</v>
      </c>
      <c r="BL19" s="559" t="s">
        <v>300</v>
      </c>
      <c r="BM19" s="559" t="s">
        <v>300</v>
      </c>
      <c r="BN19" s="559" t="s">
        <v>300</v>
      </c>
      <c r="BO19" s="559" t="s">
        <v>300</v>
      </c>
      <c r="BP19" s="559" t="s">
        <v>300</v>
      </c>
      <c r="BQ19" s="559" t="s">
        <v>300</v>
      </c>
      <c r="BR19" s="559" t="s">
        <v>300</v>
      </c>
      <c r="BS19" s="559" t="s">
        <v>300</v>
      </c>
      <c r="BT19" s="559" t="s">
        <v>300</v>
      </c>
      <c r="BU19" s="559" t="s">
        <v>300</v>
      </c>
      <c r="BV19" s="559" t="s">
        <v>300</v>
      </c>
      <c r="BW19" s="559" t="s">
        <v>300</v>
      </c>
      <c r="BX19" s="559" t="s">
        <v>300</v>
      </c>
      <c r="BY19" s="559" t="s">
        <v>300</v>
      </c>
      <c r="BZ19" s="559" t="s">
        <v>300</v>
      </c>
      <c r="CA19" s="559" t="s">
        <v>300</v>
      </c>
      <c r="CB19" s="559" t="s">
        <v>300</v>
      </c>
      <c r="CC19" s="559" t="s">
        <v>300</v>
      </c>
      <c r="CD19" s="554"/>
      <c r="CE19" s="554"/>
      <c r="CF19" s="554"/>
      <c r="CG19" s="554"/>
      <c r="CH19" s="554"/>
      <c r="CI19" s="554"/>
      <c r="CJ19" s="554"/>
      <c r="CK19" s="554"/>
      <c r="CL19" s="554"/>
      <c r="CM19" s="554"/>
      <c r="CN19" s="554"/>
      <c r="CO19" s="554"/>
      <c r="CP19" s="554"/>
      <c r="CQ19" s="554"/>
      <c r="CR19" s="554"/>
      <c r="CS19" s="554"/>
      <c r="CT19" s="554"/>
      <c r="CU19" s="554"/>
      <c r="CV19" s="554"/>
      <c r="CW19" s="554"/>
      <c r="CX19" s="554"/>
      <c r="CY19" s="554"/>
      <c r="CZ19" s="554"/>
      <c r="DA19" s="554"/>
      <c r="DB19" s="554"/>
      <c r="DC19" s="554"/>
      <c r="DD19" s="554"/>
      <c r="DE19" s="534"/>
      <c r="DF19" s="534"/>
      <c r="DG19" s="534"/>
    </row>
    <row r="20" spans="1:111" ht="15" hidden="1" x14ac:dyDescent="0.25">
      <c r="A20" s="549" t="str">
        <f>IF(Control!$D$5="N","-",1)</f>
        <v>-</v>
      </c>
      <c r="B20" s="555" t="s">
        <v>558</v>
      </c>
      <c r="C20" s="555" t="s">
        <v>559</v>
      </c>
      <c r="D20" s="555" t="s">
        <v>560</v>
      </c>
      <c r="E20" s="556" t="s">
        <v>22</v>
      </c>
      <c r="F20" s="556" t="s">
        <v>22</v>
      </c>
      <c r="G20" s="556" t="str">
        <f>IFERROR(IF(MID('Load Criteria'!X20,FIND("_",'Load Criteria'!X20,1)+1,1)=LEFT(Control!$D$23,1),"YES","-"),"-")</f>
        <v>YES</v>
      </c>
      <c r="H20" s="549" t="str">
        <f>IF(INDEX('Weather Cases'!$G$10:$G$94,MATCH('Load Criteria'!X20,'Weather Cases'!$H$10:$H$94,0),1)="H","YES","")</f>
        <v>YES</v>
      </c>
      <c r="I20" s="557" t="s">
        <v>299</v>
      </c>
      <c r="J20" s="550">
        <f>'Weather Cases'!D21</f>
        <v>15</v>
      </c>
      <c r="K20" s="550" t="s">
        <v>88</v>
      </c>
      <c r="L20" s="252"/>
      <c r="M20" s="252"/>
      <c r="N20" s="252"/>
      <c r="O20" s="252"/>
      <c r="P20" s="393"/>
      <c r="Q20" s="393"/>
      <c r="R20" s="393"/>
      <c r="S20" s="393"/>
      <c r="T20" s="393"/>
      <c r="U20" s="550" t="s">
        <v>247</v>
      </c>
      <c r="V20" s="551" t="s">
        <v>300</v>
      </c>
      <c r="W20" s="542" t="str">
        <f t="shared" si="6"/>
        <v>MW0015_A8+E Max</v>
      </c>
      <c r="X20" s="552" t="str">
        <f>I20&amp;TEXT(J20,"0000")&amp;"_"&amp;LEFT(Control!$D$23,1)&amp;LEFT(Control!$D$22,LEN(Control!$D$22)-2)</f>
        <v>MW0015_A8</v>
      </c>
      <c r="Y20" s="552" t="s">
        <v>433</v>
      </c>
      <c r="Z20" s="552" t="str">
        <f t="shared" si="0"/>
        <v>Max</v>
      </c>
      <c r="AA20" s="552" t="str">
        <f t="shared" si="1"/>
        <v/>
      </c>
      <c r="AB20" s="552">
        <v>1</v>
      </c>
      <c r="AC20" s="552">
        <v>1</v>
      </c>
      <c r="AD20" s="552">
        <v>1</v>
      </c>
      <c r="AE20" s="552">
        <v>1</v>
      </c>
      <c r="AF20" s="552">
        <v>1</v>
      </c>
      <c r="AG20" s="542" t="s">
        <v>561</v>
      </c>
      <c r="AH20" s="552">
        <v>0</v>
      </c>
      <c r="AI20" s="552">
        <v>0</v>
      </c>
      <c r="AJ20" s="552">
        <v>1</v>
      </c>
      <c r="AK20" s="552">
        <v>1</v>
      </c>
      <c r="AL20" s="552">
        <v>1</v>
      </c>
      <c r="AM20" s="552">
        <v>0</v>
      </c>
      <c r="AN20" s="552">
        <v>0</v>
      </c>
      <c r="AO20" s="552">
        <v>1</v>
      </c>
      <c r="AP20" s="552">
        <v>1</v>
      </c>
      <c r="AQ20" s="552">
        <v>1</v>
      </c>
      <c r="AR20" s="552">
        <v>1</v>
      </c>
      <c r="AS20" s="552">
        <v>1</v>
      </c>
      <c r="AT20" s="552">
        <v>1</v>
      </c>
      <c r="AU20" s="552"/>
      <c r="AV20" s="553" t="str">
        <f>IF(H20="YES","'"&amp;INDEX('Structure Groups'!$C$12:$C$14,MATCH('Load Criteria'!$B$5,'Structure Groups'!$B$12:$B$14,0),1)&amp;"'","'All'")</f>
        <v>'GL Max 800m'</v>
      </c>
      <c r="AW20" s="552" t="s">
        <v>562</v>
      </c>
      <c r="AX20" s="552"/>
      <c r="AY20" s="552" t="str">
        <f t="shared" si="2"/>
        <v>No</v>
      </c>
      <c r="AZ20" s="554" t="str">
        <f t="shared" si="3"/>
        <v/>
      </c>
      <c r="BA20" s="554" t="str">
        <f t="shared" si="4"/>
        <v/>
      </c>
      <c r="BB20" s="552" t="str">
        <f t="shared" si="5"/>
        <v/>
      </c>
      <c r="BC20" s="559" t="s">
        <v>300</v>
      </c>
      <c r="BD20" s="559" t="s">
        <v>300</v>
      </c>
      <c r="BE20" s="559" t="s">
        <v>300</v>
      </c>
      <c r="BF20" s="559" t="s">
        <v>300</v>
      </c>
      <c r="BG20" s="559" t="s">
        <v>300</v>
      </c>
      <c r="BH20" s="559" t="s">
        <v>300</v>
      </c>
      <c r="BI20" s="559" t="s">
        <v>300</v>
      </c>
      <c r="BJ20" s="559" t="s">
        <v>300</v>
      </c>
      <c r="BK20" s="559" t="s">
        <v>300</v>
      </c>
      <c r="BL20" s="559" t="s">
        <v>300</v>
      </c>
      <c r="BM20" s="559" t="s">
        <v>300</v>
      </c>
      <c r="BN20" s="559" t="s">
        <v>300</v>
      </c>
      <c r="BO20" s="559" t="s">
        <v>300</v>
      </c>
      <c r="BP20" s="559" t="s">
        <v>300</v>
      </c>
      <c r="BQ20" s="559" t="s">
        <v>300</v>
      </c>
      <c r="BR20" s="559" t="s">
        <v>300</v>
      </c>
      <c r="BS20" s="559" t="s">
        <v>300</v>
      </c>
      <c r="BT20" s="559" t="s">
        <v>300</v>
      </c>
      <c r="BU20" s="559" t="s">
        <v>300</v>
      </c>
      <c r="BV20" s="559" t="s">
        <v>300</v>
      </c>
      <c r="BW20" s="559" t="s">
        <v>300</v>
      </c>
      <c r="BX20" s="559" t="s">
        <v>300</v>
      </c>
      <c r="BY20" s="559" t="s">
        <v>300</v>
      </c>
      <c r="BZ20" s="559" t="s">
        <v>300</v>
      </c>
      <c r="CA20" s="559" t="s">
        <v>300</v>
      </c>
      <c r="CB20" s="559" t="s">
        <v>300</v>
      </c>
      <c r="CC20" s="559" t="s">
        <v>300</v>
      </c>
      <c r="CD20" s="554"/>
      <c r="CE20" s="554"/>
      <c r="CF20" s="554"/>
      <c r="CG20" s="554"/>
      <c r="CH20" s="554"/>
      <c r="CI20" s="554"/>
      <c r="CJ20" s="554"/>
      <c r="CK20" s="554"/>
      <c r="CL20" s="554"/>
      <c r="CM20" s="554"/>
      <c r="CN20" s="554"/>
      <c r="CO20" s="554"/>
      <c r="CP20" s="554"/>
      <c r="CQ20" s="554"/>
      <c r="CR20" s="554"/>
      <c r="CS20" s="554"/>
      <c r="CT20" s="554"/>
      <c r="CU20" s="554"/>
      <c r="CV20" s="554"/>
      <c r="CW20" s="554"/>
      <c r="CX20" s="554"/>
      <c r="CY20" s="554"/>
      <c r="CZ20" s="554"/>
      <c r="DA20" s="554"/>
      <c r="DB20" s="554"/>
      <c r="DC20" s="554"/>
      <c r="DD20" s="554"/>
      <c r="DE20" s="534"/>
      <c r="DF20" s="534"/>
      <c r="DG20" s="534"/>
    </row>
    <row r="21" spans="1:111" ht="15" hidden="1" x14ac:dyDescent="0.25">
      <c r="A21" s="549" t="str">
        <f>IF(Control!$D$5="N","-",1)</f>
        <v>-</v>
      </c>
      <c r="B21" s="555" t="s">
        <v>558</v>
      </c>
      <c r="C21" s="555" t="s">
        <v>559</v>
      </c>
      <c r="D21" s="555" t="s">
        <v>560</v>
      </c>
      <c r="E21" s="556" t="s">
        <v>22</v>
      </c>
      <c r="F21" s="556" t="s">
        <v>22</v>
      </c>
      <c r="G21" s="556" t="str">
        <f>IFERROR(IF(MID('Load Criteria'!X21,FIND("_",'Load Criteria'!X21,1)+1,1)=LEFT(Control!$D$23,1),"YES","-"),"-")</f>
        <v>YES</v>
      </c>
      <c r="H21" s="549" t="str">
        <f>IF(INDEX('Weather Cases'!$G$10:$G$94,MATCH('Load Criteria'!X21,'Weather Cases'!$H$10:$H$94,0),1)="H","YES","")</f>
        <v>YES</v>
      </c>
      <c r="I21" s="557" t="s">
        <v>299</v>
      </c>
      <c r="J21" s="550">
        <f>'Weather Cases'!D22</f>
        <v>10</v>
      </c>
      <c r="K21" s="550" t="s">
        <v>88</v>
      </c>
      <c r="L21" s="252"/>
      <c r="M21" s="252"/>
      <c r="N21" s="252"/>
      <c r="O21" s="252"/>
      <c r="P21" s="393"/>
      <c r="Q21" s="393"/>
      <c r="R21" s="393"/>
      <c r="S21" s="393"/>
      <c r="T21" s="393"/>
      <c r="U21" s="550" t="s">
        <v>247</v>
      </c>
      <c r="V21" s="551" t="s">
        <v>300</v>
      </c>
      <c r="W21" s="542" t="str">
        <f t="shared" si="6"/>
        <v>MW0010_A8+E Max</v>
      </c>
      <c r="X21" s="552" t="str">
        <f>I21&amp;TEXT(J21,"0000")&amp;"_"&amp;LEFT(Control!$D$23,1)&amp;LEFT(Control!$D$22,LEN(Control!$D$22)-2)</f>
        <v>MW0010_A8</v>
      </c>
      <c r="Y21" s="552" t="s">
        <v>433</v>
      </c>
      <c r="Z21" s="552" t="str">
        <f t="shared" si="0"/>
        <v>Max</v>
      </c>
      <c r="AA21" s="552" t="str">
        <f t="shared" si="1"/>
        <v/>
      </c>
      <c r="AB21" s="552">
        <v>1</v>
      </c>
      <c r="AC21" s="552">
        <v>1</v>
      </c>
      <c r="AD21" s="552">
        <v>1</v>
      </c>
      <c r="AE21" s="552">
        <v>1</v>
      </c>
      <c r="AF21" s="552">
        <v>1</v>
      </c>
      <c r="AG21" s="542" t="s">
        <v>561</v>
      </c>
      <c r="AH21" s="552">
        <v>0</v>
      </c>
      <c r="AI21" s="552">
        <v>0</v>
      </c>
      <c r="AJ21" s="552">
        <v>1</v>
      </c>
      <c r="AK21" s="552">
        <v>1</v>
      </c>
      <c r="AL21" s="552">
        <v>1</v>
      </c>
      <c r="AM21" s="552">
        <v>0</v>
      </c>
      <c r="AN21" s="552">
        <v>0</v>
      </c>
      <c r="AO21" s="552">
        <v>1</v>
      </c>
      <c r="AP21" s="552">
        <v>1</v>
      </c>
      <c r="AQ21" s="552">
        <v>1</v>
      </c>
      <c r="AR21" s="552">
        <v>1</v>
      </c>
      <c r="AS21" s="552">
        <v>1</v>
      </c>
      <c r="AT21" s="552">
        <v>1</v>
      </c>
      <c r="AU21" s="552"/>
      <c r="AV21" s="553" t="str">
        <f>IF(H21="YES","'"&amp;INDEX('Structure Groups'!$C$12:$C$14,MATCH('Load Criteria'!$B$5,'Structure Groups'!$B$12:$B$14,0),1)&amp;"'","'All'")</f>
        <v>'GL Max 800m'</v>
      </c>
      <c r="AW21" s="552" t="s">
        <v>562</v>
      </c>
      <c r="AX21" s="552"/>
      <c r="AY21" s="552" t="str">
        <f t="shared" si="2"/>
        <v>No</v>
      </c>
      <c r="AZ21" s="554" t="str">
        <f t="shared" si="3"/>
        <v/>
      </c>
      <c r="BA21" s="554" t="str">
        <f t="shared" si="4"/>
        <v/>
      </c>
      <c r="BB21" s="552" t="str">
        <f t="shared" si="5"/>
        <v/>
      </c>
      <c r="BC21" s="559" t="s">
        <v>300</v>
      </c>
      <c r="BD21" s="559" t="s">
        <v>300</v>
      </c>
      <c r="BE21" s="559" t="s">
        <v>300</v>
      </c>
      <c r="BF21" s="559" t="s">
        <v>300</v>
      </c>
      <c r="BG21" s="559" t="s">
        <v>300</v>
      </c>
      <c r="BH21" s="559" t="s">
        <v>300</v>
      </c>
      <c r="BI21" s="559" t="s">
        <v>300</v>
      </c>
      <c r="BJ21" s="559" t="s">
        <v>300</v>
      </c>
      <c r="BK21" s="559" t="s">
        <v>300</v>
      </c>
      <c r="BL21" s="559" t="s">
        <v>300</v>
      </c>
      <c r="BM21" s="559" t="s">
        <v>300</v>
      </c>
      <c r="BN21" s="559" t="s">
        <v>300</v>
      </c>
      <c r="BO21" s="559" t="s">
        <v>300</v>
      </c>
      <c r="BP21" s="559" t="s">
        <v>300</v>
      </c>
      <c r="BQ21" s="559" t="s">
        <v>300</v>
      </c>
      <c r="BR21" s="559" t="s">
        <v>300</v>
      </c>
      <c r="BS21" s="559" t="s">
        <v>300</v>
      </c>
      <c r="BT21" s="559" t="s">
        <v>300</v>
      </c>
      <c r="BU21" s="559" t="s">
        <v>300</v>
      </c>
      <c r="BV21" s="559" t="s">
        <v>300</v>
      </c>
      <c r="BW21" s="559" t="s">
        <v>300</v>
      </c>
      <c r="BX21" s="559" t="s">
        <v>300</v>
      </c>
      <c r="BY21" s="559" t="s">
        <v>300</v>
      </c>
      <c r="BZ21" s="559" t="s">
        <v>300</v>
      </c>
      <c r="CA21" s="559" t="s">
        <v>300</v>
      </c>
      <c r="CB21" s="559" t="s">
        <v>300</v>
      </c>
      <c r="CC21" s="559" t="s">
        <v>300</v>
      </c>
      <c r="CD21" s="554"/>
      <c r="CE21" s="554"/>
      <c r="CF21" s="554"/>
      <c r="CG21" s="554"/>
      <c r="CH21" s="554"/>
      <c r="CI21" s="554"/>
      <c r="CJ21" s="554"/>
      <c r="CK21" s="554"/>
      <c r="CL21" s="554"/>
      <c r="CM21" s="554"/>
      <c r="CN21" s="554"/>
      <c r="CO21" s="554"/>
      <c r="CP21" s="554"/>
      <c r="CQ21" s="554"/>
      <c r="CR21" s="554"/>
      <c r="CS21" s="554"/>
      <c r="CT21" s="554"/>
      <c r="CU21" s="554"/>
      <c r="CV21" s="554"/>
      <c r="CW21" s="554"/>
      <c r="CX21" s="554"/>
      <c r="CY21" s="554"/>
      <c r="CZ21" s="554"/>
      <c r="DA21" s="554"/>
      <c r="DB21" s="554"/>
      <c r="DC21" s="554"/>
      <c r="DD21" s="554"/>
      <c r="DE21" s="534"/>
      <c r="DF21" s="534"/>
      <c r="DG21" s="534"/>
    </row>
    <row r="22" spans="1:111" ht="15" hidden="1" x14ac:dyDescent="0.25">
      <c r="A22" s="549" t="str">
        <f>IF(Control!$D$5="N","-",1)</f>
        <v>-</v>
      </c>
      <c r="B22" s="555" t="s">
        <v>558</v>
      </c>
      <c r="C22" s="555" t="s">
        <v>559</v>
      </c>
      <c r="D22" s="555" t="s">
        <v>560</v>
      </c>
      <c r="E22" s="556" t="s">
        <v>22</v>
      </c>
      <c r="F22" s="556" t="s">
        <v>22</v>
      </c>
      <c r="G22" s="556" t="str">
        <f>IFERROR(IF(MID('Load Criteria'!X22,FIND("_",'Load Criteria'!X22,1)+1,1)=LEFT(Control!$D$23,1),"YES","-"),"-")</f>
        <v>YES</v>
      </c>
      <c r="H22" s="549" t="str">
        <f>IF(INDEX('Weather Cases'!$G$10:$G$94,MATCH('Load Criteria'!X22,'Weather Cases'!$H$10:$H$94,0),1)="H","YES","")</f>
        <v>YES</v>
      </c>
      <c r="I22" s="557" t="s">
        <v>299</v>
      </c>
      <c r="J22" s="550">
        <f>'Weather Cases'!D23</f>
        <v>4</v>
      </c>
      <c r="K22" s="550" t="s">
        <v>88</v>
      </c>
      <c r="L22" s="252"/>
      <c r="M22" s="252"/>
      <c r="N22" s="252"/>
      <c r="O22" s="252"/>
      <c r="P22" s="393"/>
      <c r="Q22" s="393"/>
      <c r="R22" s="393"/>
      <c r="S22" s="393"/>
      <c r="T22" s="393"/>
      <c r="U22" s="550" t="s">
        <v>247</v>
      </c>
      <c r="V22" s="551" t="s">
        <v>300</v>
      </c>
      <c r="W22" s="542" t="str">
        <f t="shared" si="6"/>
        <v>MW0004_A8+E Max</v>
      </c>
      <c r="X22" s="552" t="str">
        <f>I22&amp;TEXT(J22,"0000")&amp;"_"&amp;LEFT(Control!$D$23,1)&amp;LEFT(Control!$D$22,LEN(Control!$D$22)-2)</f>
        <v>MW0004_A8</v>
      </c>
      <c r="Y22" s="552" t="s">
        <v>433</v>
      </c>
      <c r="Z22" s="552" t="str">
        <f t="shared" si="0"/>
        <v>Max</v>
      </c>
      <c r="AA22" s="552" t="str">
        <f t="shared" si="1"/>
        <v/>
      </c>
      <c r="AB22" s="552">
        <v>1</v>
      </c>
      <c r="AC22" s="552">
        <v>1</v>
      </c>
      <c r="AD22" s="552">
        <v>1</v>
      </c>
      <c r="AE22" s="552">
        <v>1</v>
      </c>
      <c r="AF22" s="552">
        <v>1</v>
      </c>
      <c r="AG22" s="542" t="s">
        <v>561</v>
      </c>
      <c r="AH22" s="552">
        <v>0</v>
      </c>
      <c r="AI22" s="552">
        <v>0</v>
      </c>
      <c r="AJ22" s="552">
        <v>1</v>
      </c>
      <c r="AK22" s="552">
        <v>1</v>
      </c>
      <c r="AL22" s="552">
        <v>1</v>
      </c>
      <c r="AM22" s="552">
        <v>0</v>
      </c>
      <c r="AN22" s="552">
        <v>0</v>
      </c>
      <c r="AO22" s="552">
        <v>1</v>
      </c>
      <c r="AP22" s="552">
        <v>1</v>
      </c>
      <c r="AQ22" s="552">
        <v>1</v>
      </c>
      <c r="AR22" s="552">
        <v>1</v>
      </c>
      <c r="AS22" s="552">
        <v>1</v>
      </c>
      <c r="AT22" s="552">
        <v>1</v>
      </c>
      <c r="AU22" s="552"/>
      <c r="AV22" s="553" t="str">
        <f>IF(H22="YES","'"&amp;INDEX('Structure Groups'!$C$12:$C$14,MATCH('Load Criteria'!$B$5,'Structure Groups'!$B$12:$B$14,0),1)&amp;"'","'All'")</f>
        <v>'GL Max 800m'</v>
      </c>
      <c r="AW22" s="552" t="s">
        <v>562</v>
      </c>
      <c r="AX22" s="552"/>
      <c r="AY22" s="552" t="str">
        <f t="shared" si="2"/>
        <v>No</v>
      </c>
      <c r="AZ22" s="554" t="str">
        <f t="shared" si="3"/>
        <v/>
      </c>
      <c r="BA22" s="554" t="str">
        <f t="shared" si="4"/>
        <v/>
      </c>
      <c r="BB22" s="552" t="str">
        <f t="shared" si="5"/>
        <v/>
      </c>
      <c r="BC22" s="559" t="s">
        <v>300</v>
      </c>
      <c r="BD22" s="559" t="s">
        <v>300</v>
      </c>
      <c r="BE22" s="559" t="s">
        <v>300</v>
      </c>
      <c r="BF22" s="559" t="s">
        <v>300</v>
      </c>
      <c r="BG22" s="559" t="s">
        <v>300</v>
      </c>
      <c r="BH22" s="559" t="s">
        <v>300</v>
      </c>
      <c r="BI22" s="559" t="s">
        <v>300</v>
      </c>
      <c r="BJ22" s="559" t="s">
        <v>300</v>
      </c>
      <c r="BK22" s="559" t="s">
        <v>300</v>
      </c>
      <c r="BL22" s="559" t="s">
        <v>300</v>
      </c>
      <c r="BM22" s="559" t="s">
        <v>300</v>
      </c>
      <c r="BN22" s="559" t="s">
        <v>300</v>
      </c>
      <c r="BO22" s="559" t="s">
        <v>300</v>
      </c>
      <c r="BP22" s="559" t="s">
        <v>300</v>
      </c>
      <c r="BQ22" s="559" t="s">
        <v>300</v>
      </c>
      <c r="BR22" s="559" t="s">
        <v>300</v>
      </c>
      <c r="BS22" s="559" t="s">
        <v>300</v>
      </c>
      <c r="BT22" s="559" t="s">
        <v>300</v>
      </c>
      <c r="BU22" s="559" t="s">
        <v>300</v>
      </c>
      <c r="BV22" s="559" t="s">
        <v>300</v>
      </c>
      <c r="BW22" s="559" t="s">
        <v>300</v>
      </c>
      <c r="BX22" s="559" t="s">
        <v>300</v>
      </c>
      <c r="BY22" s="559" t="s">
        <v>300</v>
      </c>
      <c r="BZ22" s="559" t="s">
        <v>300</v>
      </c>
      <c r="CA22" s="559" t="s">
        <v>300</v>
      </c>
      <c r="CB22" s="559" t="s">
        <v>300</v>
      </c>
      <c r="CC22" s="559" t="s">
        <v>300</v>
      </c>
      <c r="CD22" s="554"/>
      <c r="CE22" s="554"/>
      <c r="CF22" s="554"/>
      <c r="CG22" s="554"/>
      <c r="CH22" s="554"/>
      <c r="CI22" s="554"/>
      <c r="CJ22" s="554"/>
      <c r="CK22" s="554"/>
      <c r="CL22" s="554"/>
      <c r="CM22" s="554"/>
      <c r="CN22" s="554"/>
      <c r="CO22" s="554"/>
      <c r="CP22" s="554"/>
      <c r="CQ22" s="554"/>
      <c r="CR22" s="554"/>
      <c r="CS22" s="554"/>
      <c r="CT22" s="554"/>
      <c r="CU22" s="554"/>
      <c r="CV22" s="554"/>
      <c r="CW22" s="554"/>
      <c r="CX22" s="554"/>
      <c r="CY22" s="554"/>
      <c r="CZ22" s="554"/>
      <c r="DA22" s="554"/>
      <c r="DB22" s="554"/>
      <c r="DC22" s="554"/>
      <c r="DD22" s="554"/>
      <c r="DE22" s="534"/>
      <c r="DF22" s="534"/>
      <c r="DG22" s="534"/>
    </row>
    <row r="23" spans="1:111" ht="15" hidden="1" x14ac:dyDescent="0.25">
      <c r="A23" s="549" t="str">
        <f>IF(Control!$D$5="N","-",1)</f>
        <v>-</v>
      </c>
      <c r="B23" s="555" t="s">
        <v>558</v>
      </c>
      <c r="C23" s="555" t="s">
        <v>559</v>
      </c>
      <c r="D23" s="555" t="s">
        <v>560</v>
      </c>
      <c r="E23" s="556" t="s">
        <v>22</v>
      </c>
      <c r="F23" s="556" t="s">
        <v>22</v>
      </c>
      <c r="G23" s="556" t="str">
        <f>IFERROR(IF(MID('Load Criteria'!X23,FIND("_",'Load Criteria'!X23,1)+1,1)=LEFT(Control!$D$23,1),"YES","-"),"-")</f>
        <v>YES</v>
      </c>
      <c r="H23" s="549" t="str">
        <f>IF(INDEX('Weather Cases'!$G$10:$G$94,MATCH('Load Criteria'!X23,'Weather Cases'!$H$10:$H$94,0),1)="H","YES","")</f>
        <v>YES</v>
      </c>
      <c r="I23" s="557" t="s">
        <v>299</v>
      </c>
      <c r="J23" s="550">
        <f>'Weather Cases'!D24</f>
        <v>2</v>
      </c>
      <c r="K23" s="550" t="s">
        <v>88</v>
      </c>
      <c r="L23" s="252"/>
      <c r="M23" s="252"/>
      <c r="N23" s="252"/>
      <c r="O23" s="252"/>
      <c r="P23" s="393"/>
      <c r="Q23" s="393"/>
      <c r="R23" s="393"/>
      <c r="S23" s="393"/>
      <c r="T23" s="393"/>
      <c r="U23" s="550" t="s">
        <v>247</v>
      </c>
      <c r="V23" s="551" t="s">
        <v>300</v>
      </c>
      <c r="W23" s="542" t="str">
        <f t="shared" si="6"/>
        <v>MW0002_A8+E Max</v>
      </c>
      <c r="X23" s="552" t="str">
        <f>I23&amp;TEXT(J23,"0000")&amp;"_"&amp;LEFT(Control!$D$23,1)&amp;LEFT(Control!$D$22,LEN(Control!$D$22)-2)</f>
        <v>MW0002_A8</v>
      </c>
      <c r="Y23" s="552" t="s">
        <v>433</v>
      </c>
      <c r="Z23" s="552" t="str">
        <f t="shared" si="0"/>
        <v>Max</v>
      </c>
      <c r="AA23" s="552" t="str">
        <f t="shared" si="1"/>
        <v/>
      </c>
      <c r="AB23" s="552">
        <v>1</v>
      </c>
      <c r="AC23" s="552">
        <v>1</v>
      </c>
      <c r="AD23" s="552">
        <v>1</v>
      </c>
      <c r="AE23" s="552">
        <v>1</v>
      </c>
      <c r="AF23" s="552">
        <v>1</v>
      </c>
      <c r="AG23" s="542" t="s">
        <v>561</v>
      </c>
      <c r="AH23" s="552">
        <v>0</v>
      </c>
      <c r="AI23" s="552">
        <v>0</v>
      </c>
      <c r="AJ23" s="552">
        <v>1</v>
      </c>
      <c r="AK23" s="552">
        <v>1</v>
      </c>
      <c r="AL23" s="552">
        <v>1</v>
      </c>
      <c r="AM23" s="552">
        <v>0</v>
      </c>
      <c r="AN23" s="552">
        <v>0</v>
      </c>
      <c r="AO23" s="552">
        <v>1</v>
      </c>
      <c r="AP23" s="552">
        <v>1</v>
      </c>
      <c r="AQ23" s="552">
        <v>1</v>
      </c>
      <c r="AR23" s="552">
        <v>1</v>
      </c>
      <c r="AS23" s="552">
        <v>1</v>
      </c>
      <c r="AT23" s="552">
        <v>1</v>
      </c>
      <c r="AU23" s="552"/>
      <c r="AV23" s="553" t="str">
        <f>IF(H23="YES","'"&amp;INDEX('Structure Groups'!$C$12:$C$14,MATCH('Load Criteria'!$B$5,'Structure Groups'!$B$12:$B$14,0),1)&amp;"'","'All'")</f>
        <v>'GL Max 800m'</v>
      </c>
      <c r="AW23" s="552" t="s">
        <v>562</v>
      </c>
      <c r="AX23" s="552"/>
      <c r="AY23" s="552" t="str">
        <f t="shared" si="2"/>
        <v>No</v>
      </c>
      <c r="AZ23" s="554" t="str">
        <f t="shared" si="3"/>
        <v/>
      </c>
      <c r="BA23" s="554" t="str">
        <f t="shared" si="4"/>
        <v/>
      </c>
      <c r="BB23" s="552" t="str">
        <f t="shared" si="5"/>
        <v/>
      </c>
      <c r="BC23" s="559" t="s">
        <v>300</v>
      </c>
      <c r="BD23" s="559" t="s">
        <v>300</v>
      </c>
      <c r="BE23" s="559" t="s">
        <v>300</v>
      </c>
      <c r="BF23" s="559" t="s">
        <v>300</v>
      </c>
      <c r="BG23" s="559" t="s">
        <v>300</v>
      </c>
      <c r="BH23" s="559" t="s">
        <v>300</v>
      </c>
      <c r="BI23" s="559" t="s">
        <v>300</v>
      </c>
      <c r="BJ23" s="559" t="s">
        <v>300</v>
      </c>
      <c r="BK23" s="559" t="s">
        <v>300</v>
      </c>
      <c r="BL23" s="559" t="s">
        <v>300</v>
      </c>
      <c r="BM23" s="559" t="s">
        <v>300</v>
      </c>
      <c r="BN23" s="559" t="s">
        <v>300</v>
      </c>
      <c r="BO23" s="559" t="s">
        <v>300</v>
      </c>
      <c r="BP23" s="559" t="s">
        <v>300</v>
      </c>
      <c r="BQ23" s="559" t="s">
        <v>300</v>
      </c>
      <c r="BR23" s="559" t="s">
        <v>300</v>
      </c>
      <c r="BS23" s="559" t="s">
        <v>300</v>
      </c>
      <c r="BT23" s="559" t="s">
        <v>300</v>
      </c>
      <c r="BU23" s="559" t="s">
        <v>300</v>
      </c>
      <c r="BV23" s="559" t="s">
        <v>300</v>
      </c>
      <c r="BW23" s="559" t="s">
        <v>300</v>
      </c>
      <c r="BX23" s="559" t="s">
        <v>300</v>
      </c>
      <c r="BY23" s="559" t="s">
        <v>300</v>
      </c>
      <c r="BZ23" s="559" t="s">
        <v>300</v>
      </c>
      <c r="CA23" s="559" t="s">
        <v>300</v>
      </c>
      <c r="CB23" s="559" t="s">
        <v>300</v>
      </c>
      <c r="CC23" s="559" t="s">
        <v>300</v>
      </c>
      <c r="CD23" s="554"/>
      <c r="CE23" s="554"/>
      <c r="CF23" s="554"/>
      <c r="CG23" s="554"/>
      <c r="CH23" s="554"/>
      <c r="CI23" s="554"/>
      <c r="CJ23" s="554"/>
      <c r="CK23" s="554"/>
      <c r="CL23" s="554"/>
      <c r="CM23" s="554"/>
      <c r="CN23" s="554"/>
      <c r="CO23" s="554"/>
      <c r="CP23" s="554"/>
      <c r="CQ23" s="554"/>
      <c r="CR23" s="554"/>
      <c r="CS23" s="554"/>
      <c r="CT23" s="554"/>
      <c r="CU23" s="554"/>
      <c r="CV23" s="554"/>
      <c r="CW23" s="554"/>
      <c r="CX23" s="554"/>
      <c r="CY23" s="554"/>
      <c r="CZ23" s="554"/>
      <c r="DA23" s="554"/>
      <c r="DB23" s="554"/>
      <c r="DC23" s="554"/>
      <c r="DD23" s="554"/>
      <c r="DE23" s="534"/>
      <c r="DF23" s="534"/>
      <c r="DG23" s="534"/>
    </row>
    <row r="24" spans="1:111" ht="15" hidden="1" x14ac:dyDescent="0.25">
      <c r="A24" s="549" t="str">
        <f>IF(Control!$D$5="N","-",1)</f>
        <v>-</v>
      </c>
      <c r="B24" s="555" t="s">
        <v>558</v>
      </c>
      <c r="C24" s="555" t="s">
        <v>559</v>
      </c>
      <c r="D24" s="555" t="s">
        <v>560</v>
      </c>
      <c r="E24" s="556" t="s">
        <v>22</v>
      </c>
      <c r="F24" s="556" t="s">
        <v>22</v>
      </c>
      <c r="G24" s="556" t="str">
        <f>IFERROR(IF(MID('Load Criteria'!X24,FIND("_",'Load Criteria'!X24,1)+1,1)=LEFT(Control!$D$23,1),"YES","-"),"-")</f>
        <v>YES</v>
      </c>
      <c r="H24" s="549" t="str">
        <f>IF(INDEX('Weather Cases'!$G$10:$G$94,MATCH('Load Criteria'!X24,'Weather Cases'!$H$10:$H$94,0),1)="H","YES","")</f>
        <v>YES</v>
      </c>
      <c r="I24" s="557" t="s">
        <v>299</v>
      </c>
      <c r="J24" s="550">
        <f t="shared" ref="J24:J39" si="7">J9</f>
        <v>1000</v>
      </c>
      <c r="K24" s="550" t="s">
        <v>60</v>
      </c>
      <c r="L24" s="550" t="s">
        <v>24</v>
      </c>
      <c r="M24" s="550"/>
      <c r="N24" s="550"/>
      <c r="O24" s="550"/>
      <c r="P24" s="392"/>
      <c r="Q24" s="392"/>
      <c r="R24" s="392"/>
      <c r="S24" s="392"/>
      <c r="T24" s="392"/>
      <c r="U24" s="550" t="s">
        <v>247</v>
      </c>
      <c r="V24" s="551" t="s">
        <v>300</v>
      </c>
      <c r="W24" s="542" t="str">
        <f t="shared" si="6"/>
        <v>MW1000_A8+DA Max</v>
      </c>
      <c r="X24" s="552" t="str">
        <f>I24&amp;TEXT(J24,"0000")&amp;"_"&amp;LEFT(Control!$D$23,1)&amp;LEFT(Control!$D$22,LEN(Control!$D$22)-2)</f>
        <v>MW1000_A8</v>
      </c>
      <c r="Y24" s="552" t="s">
        <v>433</v>
      </c>
      <c r="Z24" s="552" t="str">
        <f t="shared" ref="Z24:Z69" si="8">U24</f>
        <v>Max</v>
      </c>
      <c r="AA24" s="552"/>
      <c r="AB24" s="552">
        <v>1</v>
      </c>
      <c r="AC24" s="552">
        <v>1</v>
      </c>
      <c r="AD24" s="552">
        <v>1</v>
      </c>
      <c r="AE24" s="552">
        <v>1</v>
      </c>
      <c r="AF24" s="552">
        <v>1</v>
      </c>
      <c r="AG24" s="542" t="s">
        <v>561</v>
      </c>
      <c r="AH24" s="552">
        <v>0</v>
      </c>
      <c r="AI24" s="552">
        <v>0</v>
      </c>
      <c r="AJ24" s="552">
        <v>1</v>
      </c>
      <c r="AK24" s="552">
        <v>1</v>
      </c>
      <c r="AL24" s="552">
        <v>1</v>
      </c>
      <c r="AM24" s="552">
        <v>0</v>
      </c>
      <c r="AN24" s="552">
        <v>0</v>
      </c>
      <c r="AO24" s="552">
        <v>1</v>
      </c>
      <c r="AP24" s="552">
        <v>1</v>
      </c>
      <c r="AQ24" s="552">
        <v>1</v>
      </c>
      <c r="AR24" s="552">
        <v>1</v>
      </c>
      <c r="AS24" s="552">
        <v>1</v>
      </c>
      <c r="AT24" s="552">
        <v>1</v>
      </c>
      <c r="AU24" s="552"/>
      <c r="AV24" s="553" t="str">
        <f>IF(H24="YES","'"&amp;INDEX('Structure Groups'!$C$12:$C$14,MATCH('Load Criteria'!$B$5,'Structure Groups'!$B$12:$B$14,0),1)&amp;"'","'All'")</f>
        <v>'GL Max 800m'</v>
      </c>
      <c r="AW24" s="552" t="s">
        <v>562</v>
      </c>
      <c r="AX24" s="552"/>
      <c r="AY24" s="552" t="str">
        <f t="shared" si="2"/>
        <v>Yes</v>
      </c>
      <c r="AZ24" s="554" t="str">
        <f t="shared" si="3"/>
        <v>Ahead Spans</v>
      </c>
      <c r="BA24" s="554" t="str">
        <f t="shared" si="4"/>
        <v>% Wire Wind Pressure</v>
      </c>
      <c r="BB24" s="552">
        <f t="shared" si="5"/>
        <v>75</v>
      </c>
      <c r="BC24" s="559" t="s">
        <v>300</v>
      </c>
      <c r="BD24" s="559" t="s">
        <v>300</v>
      </c>
      <c r="BE24" s="559" t="s">
        <v>300</v>
      </c>
      <c r="BF24" s="559" t="s">
        <v>300</v>
      </c>
      <c r="BG24" s="559" t="s">
        <v>300</v>
      </c>
      <c r="BH24" s="559" t="s">
        <v>300</v>
      </c>
      <c r="BI24" s="559" t="s">
        <v>300</v>
      </c>
      <c r="BJ24" s="559" t="s">
        <v>300</v>
      </c>
      <c r="BK24" s="559" t="s">
        <v>300</v>
      </c>
      <c r="BL24" s="559" t="s">
        <v>300</v>
      </c>
      <c r="BM24" s="559" t="s">
        <v>300</v>
      </c>
      <c r="BN24" s="559" t="s">
        <v>300</v>
      </c>
      <c r="BO24" s="559" t="s">
        <v>300</v>
      </c>
      <c r="BP24" s="559" t="s">
        <v>300</v>
      </c>
      <c r="BQ24" s="559" t="s">
        <v>300</v>
      </c>
      <c r="BR24" s="559" t="s">
        <v>300</v>
      </c>
      <c r="BS24" s="559" t="s">
        <v>300</v>
      </c>
      <c r="BT24" s="559" t="s">
        <v>300</v>
      </c>
      <c r="BU24" s="559" t="s">
        <v>300</v>
      </c>
      <c r="BV24" s="559" t="s">
        <v>300</v>
      </c>
      <c r="BW24" s="559" t="s">
        <v>300</v>
      </c>
      <c r="BX24" s="559" t="s">
        <v>300</v>
      </c>
      <c r="BY24" s="559" t="s">
        <v>300</v>
      </c>
      <c r="BZ24" s="559" t="s">
        <v>300</v>
      </c>
      <c r="CA24" s="559" t="s">
        <v>300</v>
      </c>
      <c r="CB24" s="559" t="s">
        <v>300</v>
      </c>
      <c r="CC24" s="559" t="s">
        <v>300</v>
      </c>
      <c r="CD24" s="554"/>
      <c r="CE24" s="554"/>
      <c r="CF24" s="554"/>
      <c r="CG24" s="554"/>
      <c r="CH24" s="554"/>
      <c r="CI24" s="554"/>
      <c r="CJ24" s="554"/>
      <c r="CK24" s="554"/>
      <c r="CL24" s="554"/>
      <c r="CM24" s="554"/>
      <c r="CN24" s="554"/>
      <c r="CO24" s="554"/>
      <c r="CP24" s="554"/>
      <c r="CQ24" s="554"/>
      <c r="CR24" s="554"/>
      <c r="CS24" s="554"/>
      <c r="CT24" s="554"/>
      <c r="CU24" s="554"/>
      <c r="CV24" s="554"/>
      <c r="CW24" s="554"/>
      <c r="CX24" s="554"/>
      <c r="CY24" s="554"/>
      <c r="CZ24" s="554"/>
      <c r="DA24" s="554"/>
      <c r="DB24" s="554"/>
      <c r="DC24" s="554"/>
      <c r="DD24" s="554"/>
      <c r="DE24" s="534"/>
      <c r="DF24" s="534"/>
      <c r="DG24" s="534"/>
    </row>
    <row r="25" spans="1:111" ht="15" hidden="1" x14ac:dyDescent="0.25">
      <c r="A25" s="549" t="str">
        <f>IF(Control!$D$5="N","-",1)</f>
        <v>-</v>
      </c>
      <c r="B25" s="555" t="s">
        <v>558</v>
      </c>
      <c r="C25" s="555" t="s">
        <v>559</v>
      </c>
      <c r="D25" s="555" t="s">
        <v>560</v>
      </c>
      <c r="E25" s="556" t="s">
        <v>22</v>
      </c>
      <c r="F25" s="556" t="s">
        <v>22</v>
      </c>
      <c r="G25" s="556" t="str">
        <f>IFERROR(IF(MID('Load Criteria'!X25,FIND("_",'Load Criteria'!X25,1)+1,1)=LEFT(Control!$D$23,1),"YES","-"),"-")</f>
        <v>YES</v>
      </c>
      <c r="H25" s="549" t="str">
        <f>IF(INDEX('Weather Cases'!$G$10:$G$94,MATCH('Load Criteria'!X25,'Weather Cases'!$H$10:$H$94,0),1)="H","YES","")</f>
        <v>YES</v>
      </c>
      <c r="I25" s="557" t="s">
        <v>299</v>
      </c>
      <c r="J25" s="550">
        <f t="shared" si="7"/>
        <v>500</v>
      </c>
      <c r="K25" s="550" t="s">
        <v>60</v>
      </c>
      <c r="L25" s="550" t="s">
        <v>24</v>
      </c>
      <c r="M25" s="550"/>
      <c r="N25" s="550"/>
      <c r="O25" s="550"/>
      <c r="P25" s="392"/>
      <c r="Q25" s="392"/>
      <c r="R25" s="392"/>
      <c r="S25" s="392"/>
      <c r="T25" s="392"/>
      <c r="U25" s="550" t="s">
        <v>247</v>
      </c>
      <c r="V25" s="551" t="s">
        <v>300</v>
      </c>
      <c r="W25" s="542" t="str">
        <f t="shared" si="6"/>
        <v>MW0500_A8+DA Max</v>
      </c>
      <c r="X25" s="552" t="str">
        <f>I25&amp;TEXT(J25,"0000")&amp;"_"&amp;LEFT(Control!$D$23,1)&amp;LEFT(Control!$D$22,LEN(Control!$D$22)-2)</f>
        <v>MW0500_A8</v>
      </c>
      <c r="Y25" s="552" t="s">
        <v>433</v>
      </c>
      <c r="Z25" s="552" t="str">
        <f t="shared" si="8"/>
        <v>Max</v>
      </c>
      <c r="AA25" s="552"/>
      <c r="AB25" s="552">
        <v>1</v>
      </c>
      <c r="AC25" s="552">
        <v>1</v>
      </c>
      <c r="AD25" s="552">
        <v>1</v>
      </c>
      <c r="AE25" s="552">
        <v>1</v>
      </c>
      <c r="AF25" s="552">
        <v>1</v>
      </c>
      <c r="AG25" s="542" t="s">
        <v>561</v>
      </c>
      <c r="AH25" s="552">
        <v>0</v>
      </c>
      <c r="AI25" s="552">
        <v>0</v>
      </c>
      <c r="AJ25" s="552">
        <v>1</v>
      </c>
      <c r="AK25" s="552">
        <v>1</v>
      </c>
      <c r="AL25" s="552">
        <v>1</v>
      </c>
      <c r="AM25" s="552">
        <v>0</v>
      </c>
      <c r="AN25" s="552">
        <v>0</v>
      </c>
      <c r="AO25" s="552">
        <v>1</v>
      </c>
      <c r="AP25" s="552">
        <v>1</v>
      </c>
      <c r="AQ25" s="552">
        <v>1</v>
      </c>
      <c r="AR25" s="552">
        <v>1</v>
      </c>
      <c r="AS25" s="552">
        <v>1</v>
      </c>
      <c r="AT25" s="552">
        <v>1</v>
      </c>
      <c r="AU25" s="552"/>
      <c r="AV25" s="553" t="str">
        <f>IF(H25="YES","'"&amp;INDEX('Structure Groups'!$C$12:$C$14,MATCH('Load Criteria'!$B$5,'Structure Groups'!$B$12:$B$14,0),1)&amp;"'","'All'")</f>
        <v>'GL Max 800m'</v>
      </c>
      <c r="AW25" s="552" t="s">
        <v>562</v>
      </c>
      <c r="AX25" s="552"/>
      <c r="AY25" s="552" t="str">
        <f t="shared" si="2"/>
        <v>Yes</v>
      </c>
      <c r="AZ25" s="554" t="str">
        <f t="shared" si="3"/>
        <v>Ahead Spans</v>
      </c>
      <c r="BA25" s="554" t="str">
        <f t="shared" si="4"/>
        <v>% Wire Wind Pressure</v>
      </c>
      <c r="BB25" s="552">
        <f t="shared" si="5"/>
        <v>75</v>
      </c>
      <c r="BC25" s="559" t="s">
        <v>300</v>
      </c>
      <c r="BD25" s="559" t="s">
        <v>300</v>
      </c>
      <c r="BE25" s="559" t="s">
        <v>300</v>
      </c>
      <c r="BF25" s="559" t="s">
        <v>300</v>
      </c>
      <c r="BG25" s="559" t="s">
        <v>300</v>
      </c>
      <c r="BH25" s="559" t="s">
        <v>300</v>
      </c>
      <c r="BI25" s="559" t="s">
        <v>300</v>
      </c>
      <c r="BJ25" s="559" t="s">
        <v>300</v>
      </c>
      <c r="BK25" s="559" t="s">
        <v>300</v>
      </c>
      <c r="BL25" s="559" t="s">
        <v>300</v>
      </c>
      <c r="BM25" s="559" t="s">
        <v>300</v>
      </c>
      <c r="BN25" s="559" t="s">
        <v>300</v>
      </c>
      <c r="BO25" s="559" t="s">
        <v>300</v>
      </c>
      <c r="BP25" s="559" t="s">
        <v>300</v>
      </c>
      <c r="BQ25" s="559" t="s">
        <v>300</v>
      </c>
      <c r="BR25" s="559" t="s">
        <v>300</v>
      </c>
      <c r="BS25" s="559" t="s">
        <v>300</v>
      </c>
      <c r="BT25" s="559" t="s">
        <v>300</v>
      </c>
      <c r="BU25" s="559" t="s">
        <v>300</v>
      </c>
      <c r="BV25" s="559" t="s">
        <v>300</v>
      </c>
      <c r="BW25" s="559" t="s">
        <v>300</v>
      </c>
      <c r="BX25" s="559" t="s">
        <v>300</v>
      </c>
      <c r="BY25" s="559" t="s">
        <v>300</v>
      </c>
      <c r="BZ25" s="559" t="s">
        <v>300</v>
      </c>
      <c r="CA25" s="559" t="s">
        <v>300</v>
      </c>
      <c r="CB25" s="559" t="s">
        <v>300</v>
      </c>
      <c r="CC25" s="559" t="s">
        <v>300</v>
      </c>
      <c r="CD25" s="554"/>
      <c r="CE25" s="554"/>
      <c r="CF25" s="554"/>
      <c r="CG25" s="554"/>
      <c r="CH25" s="554"/>
      <c r="CI25" s="554"/>
      <c r="CJ25" s="554"/>
      <c r="CK25" s="554"/>
      <c r="CL25" s="554"/>
      <c r="CM25" s="554"/>
      <c r="CN25" s="554"/>
      <c r="CO25" s="554"/>
      <c r="CP25" s="554"/>
      <c r="CQ25" s="554"/>
      <c r="CR25" s="554"/>
      <c r="CS25" s="554"/>
      <c r="CT25" s="554"/>
      <c r="CU25" s="554"/>
      <c r="CV25" s="554"/>
      <c r="CW25" s="554"/>
      <c r="CX25" s="554"/>
      <c r="CY25" s="554"/>
      <c r="CZ25" s="554"/>
      <c r="DA25" s="554"/>
      <c r="DB25" s="554"/>
      <c r="DC25" s="554"/>
      <c r="DD25" s="554"/>
      <c r="DE25" s="534"/>
      <c r="DF25" s="534"/>
      <c r="DG25" s="534"/>
    </row>
    <row r="26" spans="1:111" ht="15" hidden="1" x14ac:dyDescent="0.25">
      <c r="A26" s="549" t="str">
        <f>IF(Control!$D$5="N","-",1)</f>
        <v>-</v>
      </c>
      <c r="B26" s="555" t="s">
        <v>558</v>
      </c>
      <c r="C26" s="555" t="s">
        <v>559</v>
      </c>
      <c r="D26" s="555" t="s">
        <v>560</v>
      </c>
      <c r="E26" s="556" t="s">
        <v>22</v>
      </c>
      <c r="F26" s="556" t="s">
        <v>22</v>
      </c>
      <c r="G26" s="556" t="str">
        <f>IFERROR(IF(MID('Load Criteria'!X26,FIND("_",'Load Criteria'!X26,1)+1,1)=LEFT(Control!$D$23,1),"YES","-"),"-")</f>
        <v>YES</v>
      </c>
      <c r="H26" s="549" t="str">
        <f>IF(INDEX('Weather Cases'!$G$10:$G$94,MATCH('Load Criteria'!X26,'Weather Cases'!$H$10:$H$94,0),1)="H","YES","")</f>
        <v>YES</v>
      </c>
      <c r="I26" s="557" t="s">
        <v>299</v>
      </c>
      <c r="J26" s="550">
        <f t="shared" si="7"/>
        <v>400</v>
      </c>
      <c r="K26" s="550" t="s">
        <v>60</v>
      </c>
      <c r="L26" s="550" t="s">
        <v>24</v>
      </c>
      <c r="M26" s="550"/>
      <c r="N26" s="550"/>
      <c r="O26" s="550"/>
      <c r="P26" s="392"/>
      <c r="Q26" s="392"/>
      <c r="R26" s="392"/>
      <c r="S26" s="392"/>
      <c r="T26" s="392"/>
      <c r="U26" s="550" t="s">
        <v>247</v>
      </c>
      <c r="V26" s="551" t="s">
        <v>300</v>
      </c>
      <c r="W26" s="542" t="str">
        <f t="shared" si="6"/>
        <v>MW0400_A8+DA Max</v>
      </c>
      <c r="X26" s="552" t="str">
        <f>I26&amp;TEXT(J26,"0000")&amp;"_"&amp;LEFT(Control!$D$23,1)&amp;LEFT(Control!$D$22,LEN(Control!$D$22)-2)</f>
        <v>MW0400_A8</v>
      </c>
      <c r="Y26" s="552" t="s">
        <v>433</v>
      </c>
      <c r="Z26" s="552" t="str">
        <f t="shared" si="8"/>
        <v>Max</v>
      </c>
      <c r="AA26" s="552"/>
      <c r="AB26" s="552">
        <v>1</v>
      </c>
      <c r="AC26" s="552">
        <v>1</v>
      </c>
      <c r="AD26" s="552">
        <v>1</v>
      </c>
      <c r="AE26" s="552">
        <v>1</v>
      </c>
      <c r="AF26" s="552">
        <v>1</v>
      </c>
      <c r="AG26" s="542" t="s">
        <v>561</v>
      </c>
      <c r="AH26" s="552">
        <v>0</v>
      </c>
      <c r="AI26" s="552">
        <v>0</v>
      </c>
      <c r="AJ26" s="552">
        <v>1</v>
      </c>
      <c r="AK26" s="552">
        <v>1</v>
      </c>
      <c r="AL26" s="552">
        <v>1</v>
      </c>
      <c r="AM26" s="552">
        <v>0</v>
      </c>
      <c r="AN26" s="552">
        <v>0</v>
      </c>
      <c r="AO26" s="552">
        <v>1</v>
      </c>
      <c r="AP26" s="552">
        <v>1</v>
      </c>
      <c r="AQ26" s="552">
        <v>1</v>
      </c>
      <c r="AR26" s="552">
        <v>1</v>
      </c>
      <c r="AS26" s="552">
        <v>1</v>
      </c>
      <c r="AT26" s="552">
        <v>1</v>
      </c>
      <c r="AU26" s="552"/>
      <c r="AV26" s="553" t="str">
        <f>IF(H26="YES","'"&amp;INDEX('Structure Groups'!$C$12:$C$14,MATCH('Load Criteria'!$B$5,'Structure Groups'!$B$12:$B$14,0),1)&amp;"'","'All'")</f>
        <v>'GL Max 800m'</v>
      </c>
      <c r="AW26" s="552" t="s">
        <v>562</v>
      </c>
      <c r="AX26" s="552"/>
      <c r="AY26" s="552" t="str">
        <f t="shared" si="2"/>
        <v>Yes</v>
      </c>
      <c r="AZ26" s="554" t="str">
        <f t="shared" si="3"/>
        <v>Ahead Spans</v>
      </c>
      <c r="BA26" s="554" t="str">
        <f t="shared" si="4"/>
        <v>% Wire Wind Pressure</v>
      </c>
      <c r="BB26" s="552">
        <f t="shared" si="5"/>
        <v>75</v>
      </c>
      <c r="BC26" s="559" t="s">
        <v>300</v>
      </c>
      <c r="BD26" s="559" t="s">
        <v>300</v>
      </c>
      <c r="BE26" s="559" t="s">
        <v>300</v>
      </c>
      <c r="BF26" s="559" t="s">
        <v>300</v>
      </c>
      <c r="BG26" s="559" t="s">
        <v>300</v>
      </c>
      <c r="BH26" s="559" t="s">
        <v>300</v>
      </c>
      <c r="BI26" s="559" t="s">
        <v>300</v>
      </c>
      <c r="BJ26" s="559" t="s">
        <v>300</v>
      </c>
      <c r="BK26" s="559" t="s">
        <v>300</v>
      </c>
      <c r="BL26" s="559" t="s">
        <v>300</v>
      </c>
      <c r="BM26" s="559" t="s">
        <v>300</v>
      </c>
      <c r="BN26" s="559" t="s">
        <v>300</v>
      </c>
      <c r="BO26" s="559" t="s">
        <v>300</v>
      </c>
      <c r="BP26" s="559" t="s">
        <v>300</v>
      </c>
      <c r="BQ26" s="559" t="s">
        <v>300</v>
      </c>
      <c r="BR26" s="559" t="s">
        <v>300</v>
      </c>
      <c r="BS26" s="559" t="s">
        <v>300</v>
      </c>
      <c r="BT26" s="559" t="s">
        <v>300</v>
      </c>
      <c r="BU26" s="559" t="s">
        <v>300</v>
      </c>
      <c r="BV26" s="559" t="s">
        <v>300</v>
      </c>
      <c r="BW26" s="559" t="s">
        <v>300</v>
      </c>
      <c r="BX26" s="559" t="s">
        <v>300</v>
      </c>
      <c r="BY26" s="559" t="s">
        <v>300</v>
      </c>
      <c r="BZ26" s="559" t="s">
        <v>300</v>
      </c>
      <c r="CA26" s="559" t="s">
        <v>300</v>
      </c>
      <c r="CB26" s="559" t="s">
        <v>300</v>
      </c>
      <c r="CC26" s="559" t="s">
        <v>300</v>
      </c>
      <c r="CD26" s="554"/>
      <c r="CE26" s="554"/>
      <c r="CF26" s="554"/>
      <c r="CG26" s="554"/>
      <c r="CH26" s="554"/>
      <c r="CI26" s="554"/>
      <c r="CJ26" s="554"/>
      <c r="CK26" s="554"/>
      <c r="CL26" s="554"/>
      <c r="CM26" s="554"/>
      <c r="CN26" s="554"/>
      <c r="CO26" s="554"/>
      <c r="CP26" s="554"/>
      <c r="CQ26" s="554"/>
      <c r="CR26" s="554"/>
      <c r="CS26" s="554"/>
      <c r="CT26" s="554"/>
      <c r="CU26" s="554"/>
      <c r="CV26" s="554"/>
      <c r="CW26" s="554"/>
      <c r="CX26" s="554"/>
      <c r="CY26" s="554"/>
      <c r="CZ26" s="554"/>
      <c r="DA26" s="554"/>
      <c r="DB26" s="554"/>
      <c r="DC26" s="554"/>
      <c r="DD26" s="554"/>
      <c r="DE26" s="534"/>
      <c r="DF26" s="534"/>
      <c r="DG26" s="534"/>
    </row>
    <row r="27" spans="1:111" ht="15" hidden="1" x14ac:dyDescent="0.25">
      <c r="A27" s="549" t="str">
        <f>IF(Control!$D$5="N","-",1)</f>
        <v>-</v>
      </c>
      <c r="B27" s="555" t="s">
        <v>558</v>
      </c>
      <c r="C27" s="555" t="s">
        <v>559</v>
      </c>
      <c r="D27" s="555" t="s">
        <v>560</v>
      </c>
      <c r="E27" s="556" t="s">
        <v>22</v>
      </c>
      <c r="F27" s="556" t="s">
        <v>22</v>
      </c>
      <c r="G27" s="556" t="str">
        <f>IFERROR(IF(MID('Load Criteria'!X27,FIND("_",'Load Criteria'!X27,1)+1,1)=LEFT(Control!$D$23,1),"YES","-"),"-")</f>
        <v>YES</v>
      </c>
      <c r="H27" s="549" t="str">
        <f>IF(INDEX('Weather Cases'!$G$10:$G$94,MATCH('Load Criteria'!X27,'Weather Cases'!$H$10:$H$94,0),1)="H","YES","")</f>
        <v>YES</v>
      </c>
      <c r="I27" s="557" t="s">
        <v>299</v>
      </c>
      <c r="J27" s="550">
        <f t="shared" si="7"/>
        <v>300</v>
      </c>
      <c r="K27" s="550" t="s">
        <v>60</v>
      </c>
      <c r="L27" s="550" t="s">
        <v>24</v>
      </c>
      <c r="M27" s="550"/>
      <c r="N27" s="550"/>
      <c r="O27" s="550"/>
      <c r="P27" s="392"/>
      <c r="Q27" s="392"/>
      <c r="R27" s="392"/>
      <c r="S27" s="392"/>
      <c r="T27" s="392"/>
      <c r="U27" s="550" t="s">
        <v>247</v>
      </c>
      <c r="V27" s="551" t="s">
        <v>300</v>
      </c>
      <c r="W27" s="542" t="str">
        <f t="shared" si="6"/>
        <v>MW0300_A8+DA Max</v>
      </c>
      <c r="X27" s="552" t="str">
        <f>I27&amp;TEXT(J27,"0000")&amp;"_"&amp;LEFT(Control!$D$23,1)&amp;LEFT(Control!$D$22,LEN(Control!$D$22)-2)</f>
        <v>MW0300_A8</v>
      </c>
      <c r="Y27" s="552" t="s">
        <v>433</v>
      </c>
      <c r="Z27" s="552" t="str">
        <f t="shared" si="8"/>
        <v>Max</v>
      </c>
      <c r="AA27" s="552"/>
      <c r="AB27" s="552">
        <v>1</v>
      </c>
      <c r="AC27" s="552">
        <v>1</v>
      </c>
      <c r="AD27" s="552">
        <v>1</v>
      </c>
      <c r="AE27" s="552">
        <v>1</v>
      </c>
      <c r="AF27" s="552">
        <v>1</v>
      </c>
      <c r="AG27" s="542" t="s">
        <v>561</v>
      </c>
      <c r="AH27" s="552">
        <v>0</v>
      </c>
      <c r="AI27" s="552">
        <v>0</v>
      </c>
      <c r="AJ27" s="552">
        <v>1</v>
      </c>
      <c r="AK27" s="552">
        <v>1</v>
      </c>
      <c r="AL27" s="552">
        <v>1</v>
      </c>
      <c r="AM27" s="552">
        <v>0</v>
      </c>
      <c r="AN27" s="552">
        <v>0</v>
      </c>
      <c r="AO27" s="552">
        <v>1</v>
      </c>
      <c r="AP27" s="552">
        <v>1</v>
      </c>
      <c r="AQ27" s="552">
        <v>1</v>
      </c>
      <c r="AR27" s="552">
        <v>1</v>
      </c>
      <c r="AS27" s="552">
        <v>1</v>
      </c>
      <c r="AT27" s="552">
        <v>1</v>
      </c>
      <c r="AU27" s="552"/>
      <c r="AV27" s="553" t="str">
        <f>IF(H27="YES","'"&amp;INDEX('Structure Groups'!$C$12:$C$14,MATCH('Load Criteria'!$B$5,'Structure Groups'!$B$12:$B$14,0),1)&amp;"'","'All'")</f>
        <v>'GL Max 800m'</v>
      </c>
      <c r="AW27" s="552" t="s">
        <v>562</v>
      </c>
      <c r="AX27" s="552"/>
      <c r="AY27" s="552" t="str">
        <f t="shared" si="2"/>
        <v>Yes</v>
      </c>
      <c r="AZ27" s="554" t="str">
        <f t="shared" si="3"/>
        <v>Ahead Spans</v>
      </c>
      <c r="BA27" s="554" t="str">
        <f t="shared" si="4"/>
        <v>% Wire Wind Pressure</v>
      </c>
      <c r="BB27" s="552">
        <f t="shared" si="5"/>
        <v>75</v>
      </c>
      <c r="BC27" s="559" t="s">
        <v>300</v>
      </c>
      <c r="BD27" s="559" t="s">
        <v>300</v>
      </c>
      <c r="BE27" s="559" t="s">
        <v>300</v>
      </c>
      <c r="BF27" s="559" t="s">
        <v>300</v>
      </c>
      <c r="BG27" s="559" t="s">
        <v>300</v>
      </c>
      <c r="BH27" s="559" t="s">
        <v>300</v>
      </c>
      <c r="BI27" s="559" t="s">
        <v>300</v>
      </c>
      <c r="BJ27" s="559" t="s">
        <v>300</v>
      </c>
      <c r="BK27" s="559" t="s">
        <v>300</v>
      </c>
      <c r="BL27" s="559" t="s">
        <v>300</v>
      </c>
      <c r="BM27" s="559" t="s">
        <v>300</v>
      </c>
      <c r="BN27" s="559" t="s">
        <v>300</v>
      </c>
      <c r="BO27" s="559" t="s">
        <v>300</v>
      </c>
      <c r="BP27" s="559" t="s">
        <v>300</v>
      </c>
      <c r="BQ27" s="559" t="s">
        <v>300</v>
      </c>
      <c r="BR27" s="559" t="s">
        <v>300</v>
      </c>
      <c r="BS27" s="559" t="s">
        <v>300</v>
      </c>
      <c r="BT27" s="559" t="s">
        <v>300</v>
      </c>
      <c r="BU27" s="559" t="s">
        <v>300</v>
      </c>
      <c r="BV27" s="559" t="s">
        <v>300</v>
      </c>
      <c r="BW27" s="559" t="s">
        <v>300</v>
      </c>
      <c r="BX27" s="559" t="s">
        <v>300</v>
      </c>
      <c r="BY27" s="559" t="s">
        <v>300</v>
      </c>
      <c r="BZ27" s="559" t="s">
        <v>300</v>
      </c>
      <c r="CA27" s="559" t="s">
        <v>300</v>
      </c>
      <c r="CB27" s="559" t="s">
        <v>300</v>
      </c>
      <c r="CC27" s="559" t="s">
        <v>300</v>
      </c>
      <c r="CD27" s="554"/>
      <c r="CE27" s="554"/>
      <c r="CF27" s="554"/>
      <c r="CG27" s="554"/>
      <c r="CH27" s="554"/>
      <c r="CI27" s="554"/>
      <c r="CJ27" s="554"/>
      <c r="CK27" s="554"/>
      <c r="CL27" s="554"/>
      <c r="CM27" s="554"/>
      <c r="CN27" s="554"/>
      <c r="CO27" s="554"/>
      <c r="CP27" s="554"/>
      <c r="CQ27" s="554"/>
      <c r="CR27" s="554"/>
      <c r="CS27" s="554"/>
      <c r="CT27" s="554"/>
      <c r="CU27" s="554"/>
      <c r="CV27" s="554"/>
      <c r="CW27" s="554"/>
      <c r="CX27" s="554"/>
      <c r="CY27" s="554"/>
      <c r="CZ27" s="554"/>
      <c r="DA27" s="554"/>
      <c r="DB27" s="554"/>
      <c r="DC27" s="554"/>
      <c r="DD27" s="554"/>
      <c r="DE27" s="534"/>
      <c r="DF27" s="534"/>
      <c r="DG27" s="534"/>
    </row>
    <row r="28" spans="1:111" ht="15" hidden="1" x14ac:dyDescent="0.25">
      <c r="A28" s="549" t="str">
        <f>IF(Control!$D$5="N","-",1)</f>
        <v>-</v>
      </c>
      <c r="B28" s="555" t="s">
        <v>558</v>
      </c>
      <c r="C28" s="555" t="s">
        <v>559</v>
      </c>
      <c r="D28" s="555" t="s">
        <v>560</v>
      </c>
      <c r="E28" s="556" t="s">
        <v>22</v>
      </c>
      <c r="F28" s="556" t="s">
        <v>22</v>
      </c>
      <c r="G28" s="556" t="str">
        <f>IFERROR(IF(MID('Load Criteria'!X28,FIND("_",'Load Criteria'!X28,1)+1,1)=LEFT(Control!$D$23,1),"YES","-"),"-")</f>
        <v>YES</v>
      </c>
      <c r="H28" s="549" t="str">
        <f>IF(INDEX('Weather Cases'!$G$10:$G$94,MATCH('Load Criteria'!X28,'Weather Cases'!$H$10:$H$94,0),1)="H","YES","")</f>
        <v>YES</v>
      </c>
      <c r="I28" s="557" t="s">
        <v>299</v>
      </c>
      <c r="J28" s="550">
        <f t="shared" si="7"/>
        <v>250</v>
      </c>
      <c r="K28" s="550" t="s">
        <v>60</v>
      </c>
      <c r="L28" s="550" t="s">
        <v>24</v>
      </c>
      <c r="M28" s="550"/>
      <c r="N28" s="550"/>
      <c r="O28" s="550"/>
      <c r="P28" s="392"/>
      <c r="Q28" s="392"/>
      <c r="R28" s="392"/>
      <c r="S28" s="392"/>
      <c r="T28" s="392"/>
      <c r="U28" s="550" t="s">
        <v>247</v>
      </c>
      <c r="V28" s="551" t="s">
        <v>300</v>
      </c>
      <c r="W28" s="542" t="str">
        <f t="shared" si="6"/>
        <v>MW0250_A8+DA Max</v>
      </c>
      <c r="X28" s="552" t="str">
        <f>I28&amp;TEXT(J28,"0000")&amp;"_"&amp;LEFT(Control!$D$23,1)&amp;LEFT(Control!$D$22,LEN(Control!$D$22)-2)</f>
        <v>MW0250_A8</v>
      </c>
      <c r="Y28" s="552" t="s">
        <v>433</v>
      </c>
      <c r="Z28" s="552" t="str">
        <f>U28</f>
        <v>Max</v>
      </c>
      <c r="AA28" s="552"/>
      <c r="AB28" s="552">
        <v>1</v>
      </c>
      <c r="AC28" s="552">
        <v>1</v>
      </c>
      <c r="AD28" s="552">
        <v>1</v>
      </c>
      <c r="AE28" s="552">
        <v>1</v>
      </c>
      <c r="AF28" s="552">
        <v>1</v>
      </c>
      <c r="AG28" s="542" t="s">
        <v>561</v>
      </c>
      <c r="AH28" s="552">
        <v>0</v>
      </c>
      <c r="AI28" s="552">
        <v>0</v>
      </c>
      <c r="AJ28" s="552">
        <v>1</v>
      </c>
      <c r="AK28" s="552">
        <v>1</v>
      </c>
      <c r="AL28" s="552">
        <v>1</v>
      </c>
      <c r="AM28" s="552">
        <v>0</v>
      </c>
      <c r="AN28" s="552">
        <v>0</v>
      </c>
      <c r="AO28" s="552">
        <v>1</v>
      </c>
      <c r="AP28" s="552">
        <v>1</v>
      </c>
      <c r="AQ28" s="552">
        <v>1</v>
      </c>
      <c r="AR28" s="552">
        <v>1</v>
      </c>
      <c r="AS28" s="552">
        <v>1</v>
      </c>
      <c r="AT28" s="552">
        <v>1</v>
      </c>
      <c r="AU28" s="552"/>
      <c r="AV28" s="553" t="str">
        <f>IF(H28="YES","'"&amp;INDEX('Structure Groups'!$C$12:$C$14,MATCH('Load Criteria'!$B$5,'Structure Groups'!$B$12:$B$14,0),1)&amp;"'","'All'")</f>
        <v>'GL Max 800m'</v>
      </c>
      <c r="AW28" s="552" t="s">
        <v>562</v>
      </c>
      <c r="AX28" s="552"/>
      <c r="AY28" s="552" t="str">
        <f t="shared" si="2"/>
        <v>Yes</v>
      </c>
      <c r="AZ28" s="554" t="str">
        <f t="shared" si="3"/>
        <v>Ahead Spans</v>
      </c>
      <c r="BA28" s="554" t="str">
        <f t="shared" si="4"/>
        <v>% Wire Wind Pressure</v>
      </c>
      <c r="BB28" s="552">
        <f t="shared" si="5"/>
        <v>75</v>
      </c>
      <c r="BC28" s="559" t="s">
        <v>300</v>
      </c>
      <c r="BD28" s="559" t="s">
        <v>300</v>
      </c>
      <c r="BE28" s="559" t="s">
        <v>300</v>
      </c>
      <c r="BF28" s="559" t="s">
        <v>300</v>
      </c>
      <c r="BG28" s="559" t="s">
        <v>300</v>
      </c>
      <c r="BH28" s="559" t="s">
        <v>300</v>
      </c>
      <c r="BI28" s="559" t="s">
        <v>300</v>
      </c>
      <c r="BJ28" s="559" t="s">
        <v>300</v>
      </c>
      <c r="BK28" s="559" t="s">
        <v>300</v>
      </c>
      <c r="BL28" s="559" t="s">
        <v>300</v>
      </c>
      <c r="BM28" s="559" t="s">
        <v>300</v>
      </c>
      <c r="BN28" s="559" t="s">
        <v>300</v>
      </c>
      <c r="BO28" s="559" t="s">
        <v>300</v>
      </c>
      <c r="BP28" s="559" t="s">
        <v>300</v>
      </c>
      <c r="BQ28" s="559" t="s">
        <v>300</v>
      </c>
      <c r="BR28" s="559" t="s">
        <v>300</v>
      </c>
      <c r="BS28" s="559" t="s">
        <v>300</v>
      </c>
      <c r="BT28" s="559" t="s">
        <v>300</v>
      </c>
      <c r="BU28" s="559" t="s">
        <v>300</v>
      </c>
      <c r="BV28" s="559" t="s">
        <v>300</v>
      </c>
      <c r="BW28" s="559" t="s">
        <v>300</v>
      </c>
      <c r="BX28" s="559" t="s">
        <v>300</v>
      </c>
      <c r="BY28" s="559" t="s">
        <v>300</v>
      </c>
      <c r="BZ28" s="559" t="s">
        <v>300</v>
      </c>
      <c r="CA28" s="559" t="s">
        <v>300</v>
      </c>
      <c r="CB28" s="559" t="s">
        <v>300</v>
      </c>
      <c r="CC28" s="559" t="s">
        <v>300</v>
      </c>
      <c r="CD28" s="554"/>
      <c r="CE28" s="554"/>
      <c r="CF28" s="554"/>
      <c r="CG28" s="554"/>
      <c r="CH28" s="554"/>
      <c r="CI28" s="554"/>
      <c r="CJ28" s="554"/>
      <c r="CK28" s="554"/>
      <c r="CL28" s="554"/>
      <c r="CM28" s="554"/>
      <c r="CN28" s="554"/>
      <c r="CO28" s="554"/>
      <c r="CP28" s="554"/>
      <c r="CQ28" s="554"/>
      <c r="CR28" s="554"/>
      <c r="CS28" s="554"/>
      <c r="CT28" s="554"/>
      <c r="CU28" s="554"/>
      <c r="CV28" s="554"/>
      <c r="CW28" s="554"/>
      <c r="CX28" s="554"/>
      <c r="CY28" s="554"/>
      <c r="CZ28" s="554"/>
      <c r="DA28" s="554"/>
      <c r="DB28" s="554"/>
      <c r="DC28" s="554"/>
      <c r="DD28" s="554"/>
      <c r="DE28" s="534"/>
      <c r="DF28" s="534"/>
      <c r="DG28" s="534"/>
    </row>
    <row r="29" spans="1:111" ht="15" hidden="1" x14ac:dyDescent="0.25">
      <c r="A29" s="549" t="str">
        <f>IF(Control!$D$5="N","-",1)</f>
        <v>-</v>
      </c>
      <c r="B29" s="555" t="s">
        <v>558</v>
      </c>
      <c r="C29" s="555" t="s">
        <v>559</v>
      </c>
      <c r="D29" s="555" t="s">
        <v>560</v>
      </c>
      <c r="E29" s="556" t="s">
        <v>22</v>
      </c>
      <c r="F29" s="556" t="s">
        <v>22</v>
      </c>
      <c r="G29" s="556" t="str">
        <f>IFERROR(IF(MID('Load Criteria'!X29,FIND("_",'Load Criteria'!X29,1)+1,1)=LEFT(Control!$D$23,1),"YES","-"),"-")</f>
        <v>YES</v>
      </c>
      <c r="H29" s="549" t="str">
        <f>IF(INDEX('Weather Cases'!$G$10:$G$94,MATCH('Load Criteria'!X29,'Weather Cases'!$H$10:$H$94,0),1)="H","YES","")</f>
        <v>YES</v>
      </c>
      <c r="I29" s="557" t="s">
        <v>299</v>
      </c>
      <c r="J29" s="550">
        <f t="shared" si="7"/>
        <v>200</v>
      </c>
      <c r="K29" s="550" t="s">
        <v>60</v>
      </c>
      <c r="L29" s="550" t="s">
        <v>24</v>
      </c>
      <c r="M29" s="550"/>
      <c r="N29" s="550"/>
      <c r="O29" s="550"/>
      <c r="P29" s="392"/>
      <c r="Q29" s="392"/>
      <c r="R29" s="392"/>
      <c r="S29" s="392"/>
      <c r="T29" s="392"/>
      <c r="U29" s="550" t="s">
        <v>247</v>
      </c>
      <c r="V29" s="551" t="s">
        <v>300</v>
      </c>
      <c r="W29" s="542" t="str">
        <f t="shared" si="6"/>
        <v>MW0200_A8+DA Max</v>
      </c>
      <c r="X29" s="552" t="str">
        <f>I29&amp;TEXT(J29,"0000")&amp;"_"&amp;LEFT(Control!$D$23,1)&amp;LEFT(Control!$D$22,LEN(Control!$D$22)-2)</f>
        <v>MW0200_A8</v>
      </c>
      <c r="Y29" s="552" t="s">
        <v>433</v>
      </c>
      <c r="Z29" s="552" t="str">
        <f t="shared" si="8"/>
        <v>Max</v>
      </c>
      <c r="AA29" s="552"/>
      <c r="AB29" s="552">
        <v>1</v>
      </c>
      <c r="AC29" s="552">
        <v>1</v>
      </c>
      <c r="AD29" s="552">
        <v>1</v>
      </c>
      <c r="AE29" s="552">
        <v>1</v>
      </c>
      <c r="AF29" s="552">
        <v>1</v>
      </c>
      <c r="AG29" s="542" t="s">
        <v>561</v>
      </c>
      <c r="AH29" s="552">
        <v>0</v>
      </c>
      <c r="AI29" s="552">
        <v>0</v>
      </c>
      <c r="AJ29" s="552">
        <v>1</v>
      </c>
      <c r="AK29" s="552">
        <v>1</v>
      </c>
      <c r="AL29" s="552">
        <v>1</v>
      </c>
      <c r="AM29" s="552">
        <v>0</v>
      </c>
      <c r="AN29" s="552">
        <v>0</v>
      </c>
      <c r="AO29" s="552">
        <v>1</v>
      </c>
      <c r="AP29" s="552">
        <v>1</v>
      </c>
      <c r="AQ29" s="552">
        <v>1</v>
      </c>
      <c r="AR29" s="552">
        <v>1</v>
      </c>
      <c r="AS29" s="552">
        <v>1</v>
      </c>
      <c r="AT29" s="552">
        <v>1</v>
      </c>
      <c r="AU29" s="552"/>
      <c r="AV29" s="553" t="str">
        <f>IF(H29="YES","'"&amp;INDEX('Structure Groups'!$C$12:$C$14,MATCH('Load Criteria'!$B$5,'Structure Groups'!$B$12:$B$14,0),1)&amp;"'","'All'")</f>
        <v>'GL Max 800m'</v>
      </c>
      <c r="AW29" s="552" t="s">
        <v>562</v>
      </c>
      <c r="AX29" s="552"/>
      <c r="AY29" s="552" t="str">
        <f t="shared" si="2"/>
        <v>Yes</v>
      </c>
      <c r="AZ29" s="554" t="str">
        <f t="shared" si="3"/>
        <v>Ahead Spans</v>
      </c>
      <c r="BA29" s="554" t="str">
        <f t="shared" si="4"/>
        <v>% Wire Wind Pressure</v>
      </c>
      <c r="BB29" s="552">
        <f t="shared" si="5"/>
        <v>75</v>
      </c>
      <c r="BC29" s="559" t="s">
        <v>300</v>
      </c>
      <c r="BD29" s="559" t="s">
        <v>300</v>
      </c>
      <c r="BE29" s="559" t="s">
        <v>300</v>
      </c>
      <c r="BF29" s="559" t="s">
        <v>300</v>
      </c>
      <c r="BG29" s="559" t="s">
        <v>300</v>
      </c>
      <c r="BH29" s="559" t="s">
        <v>300</v>
      </c>
      <c r="BI29" s="559" t="s">
        <v>300</v>
      </c>
      <c r="BJ29" s="559" t="s">
        <v>300</v>
      </c>
      <c r="BK29" s="559" t="s">
        <v>300</v>
      </c>
      <c r="BL29" s="559" t="s">
        <v>300</v>
      </c>
      <c r="BM29" s="559" t="s">
        <v>300</v>
      </c>
      <c r="BN29" s="559" t="s">
        <v>300</v>
      </c>
      <c r="BO29" s="559" t="s">
        <v>300</v>
      </c>
      <c r="BP29" s="559" t="s">
        <v>300</v>
      </c>
      <c r="BQ29" s="559" t="s">
        <v>300</v>
      </c>
      <c r="BR29" s="559" t="s">
        <v>300</v>
      </c>
      <c r="BS29" s="559" t="s">
        <v>300</v>
      </c>
      <c r="BT29" s="559" t="s">
        <v>300</v>
      </c>
      <c r="BU29" s="559" t="s">
        <v>300</v>
      </c>
      <c r="BV29" s="559" t="s">
        <v>300</v>
      </c>
      <c r="BW29" s="559" t="s">
        <v>300</v>
      </c>
      <c r="BX29" s="559" t="s">
        <v>300</v>
      </c>
      <c r="BY29" s="559" t="s">
        <v>300</v>
      </c>
      <c r="BZ29" s="559" t="s">
        <v>300</v>
      </c>
      <c r="CA29" s="559" t="s">
        <v>300</v>
      </c>
      <c r="CB29" s="559" t="s">
        <v>300</v>
      </c>
      <c r="CC29" s="559" t="s">
        <v>300</v>
      </c>
      <c r="CD29" s="554"/>
      <c r="CE29" s="554"/>
      <c r="CF29" s="554"/>
      <c r="CG29" s="554"/>
      <c r="CH29" s="554"/>
      <c r="CI29" s="554"/>
      <c r="CJ29" s="554"/>
      <c r="CK29" s="554"/>
      <c r="CL29" s="554"/>
      <c r="CM29" s="554"/>
      <c r="CN29" s="554"/>
      <c r="CO29" s="554"/>
      <c r="CP29" s="554"/>
      <c r="CQ29" s="554"/>
      <c r="CR29" s="554"/>
      <c r="CS29" s="554"/>
      <c r="CT29" s="554"/>
      <c r="CU29" s="554"/>
      <c r="CV29" s="554"/>
      <c r="CW29" s="554"/>
      <c r="CX29" s="554"/>
      <c r="CY29" s="554"/>
      <c r="CZ29" s="554"/>
      <c r="DA29" s="554"/>
      <c r="DB29" s="554"/>
      <c r="DC29" s="554"/>
      <c r="DD29" s="554"/>
      <c r="DE29" s="534"/>
      <c r="DF29" s="534"/>
      <c r="DG29" s="534"/>
    </row>
    <row r="30" spans="1:111" ht="15" hidden="1" x14ac:dyDescent="0.25">
      <c r="A30" s="549" t="str">
        <f>IF(Control!$D$5="N","-",1)</f>
        <v>-</v>
      </c>
      <c r="B30" s="555" t="s">
        <v>558</v>
      </c>
      <c r="C30" s="555" t="s">
        <v>559</v>
      </c>
      <c r="D30" s="555" t="s">
        <v>560</v>
      </c>
      <c r="E30" s="556" t="s">
        <v>22</v>
      </c>
      <c r="F30" s="556" t="s">
        <v>22</v>
      </c>
      <c r="G30" s="556" t="str">
        <f>IFERROR(IF(MID('Load Criteria'!X30,FIND("_",'Load Criteria'!X30,1)+1,1)=LEFT(Control!$D$23,1),"YES","-"),"-")</f>
        <v>YES</v>
      </c>
      <c r="H30" s="549" t="str">
        <f>IF(INDEX('Weather Cases'!$G$10:$G$94,MATCH('Load Criteria'!X30,'Weather Cases'!$H$10:$H$94,0),1)="H","YES","")</f>
        <v>YES</v>
      </c>
      <c r="I30" s="557" t="s">
        <v>299</v>
      </c>
      <c r="J30" s="550">
        <f t="shared" si="7"/>
        <v>150</v>
      </c>
      <c r="K30" s="550" t="s">
        <v>60</v>
      </c>
      <c r="L30" s="550" t="s">
        <v>24</v>
      </c>
      <c r="M30" s="550"/>
      <c r="N30" s="550"/>
      <c r="O30" s="550"/>
      <c r="P30" s="392"/>
      <c r="Q30" s="392"/>
      <c r="R30" s="392"/>
      <c r="S30" s="392"/>
      <c r="T30" s="392"/>
      <c r="U30" s="550" t="s">
        <v>247</v>
      </c>
      <c r="V30" s="551" t="s">
        <v>300</v>
      </c>
      <c r="W30" s="542" t="str">
        <f t="shared" si="6"/>
        <v>MW0150_A8+DA Max</v>
      </c>
      <c r="X30" s="552" t="str">
        <f>I30&amp;TEXT(J30,"0000")&amp;"_"&amp;LEFT(Control!$D$23,1)&amp;LEFT(Control!$D$22,LEN(Control!$D$22)-2)</f>
        <v>MW0150_A8</v>
      </c>
      <c r="Y30" s="552" t="s">
        <v>433</v>
      </c>
      <c r="Z30" s="552" t="str">
        <f t="shared" si="8"/>
        <v>Max</v>
      </c>
      <c r="AA30" s="552"/>
      <c r="AB30" s="552">
        <v>1</v>
      </c>
      <c r="AC30" s="552">
        <v>1</v>
      </c>
      <c r="AD30" s="552">
        <v>1</v>
      </c>
      <c r="AE30" s="552">
        <v>1</v>
      </c>
      <c r="AF30" s="552">
        <v>1</v>
      </c>
      <c r="AG30" s="542" t="s">
        <v>561</v>
      </c>
      <c r="AH30" s="552">
        <v>0</v>
      </c>
      <c r="AI30" s="552">
        <v>0</v>
      </c>
      <c r="AJ30" s="552">
        <v>1</v>
      </c>
      <c r="AK30" s="552">
        <v>1</v>
      </c>
      <c r="AL30" s="552">
        <v>1</v>
      </c>
      <c r="AM30" s="552">
        <v>0</v>
      </c>
      <c r="AN30" s="552">
        <v>0</v>
      </c>
      <c r="AO30" s="552">
        <v>1</v>
      </c>
      <c r="AP30" s="552">
        <v>1</v>
      </c>
      <c r="AQ30" s="552">
        <v>1</v>
      </c>
      <c r="AR30" s="552">
        <v>1</v>
      </c>
      <c r="AS30" s="552">
        <v>1</v>
      </c>
      <c r="AT30" s="552">
        <v>1</v>
      </c>
      <c r="AU30" s="552"/>
      <c r="AV30" s="553" t="str">
        <f>IF(H30="YES","'"&amp;INDEX('Structure Groups'!$C$12:$C$14,MATCH('Load Criteria'!$B$5,'Structure Groups'!$B$12:$B$14,0),1)&amp;"'","'All'")</f>
        <v>'GL Max 800m'</v>
      </c>
      <c r="AW30" s="552" t="s">
        <v>562</v>
      </c>
      <c r="AX30" s="552"/>
      <c r="AY30" s="552" t="str">
        <f t="shared" si="2"/>
        <v>Yes</v>
      </c>
      <c r="AZ30" s="554" t="str">
        <f t="shared" si="3"/>
        <v>Ahead Spans</v>
      </c>
      <c r="BA30" s="554" t="str">
        <f t="shared" si="4"/>
        <v>% Wire Wind Pressure</v>
      </c>
      <c r="BB30" s="552">
        <f t="shared" si="5"/>
        <v>75</v>
      </c>
      <c r="BC30" s="559" t="s">
        <v>300</v>
      </c>
      <c r="BD30" s="559" t="s">
        <v>300</v>
      </c>
      <c r="BE30" s="559" t="s">
        <v>300</v>
      </c>
      <c r="BF30" s="559" t="s">
        <v>300</v>
      </c>
      <c r="BG30" s="559" t="s">
        <v>300</v>
      </c>
      <c r="BH30" s="559" t="s">
        <v>300</v>
      </c>
      <c r="BI30" s="559" t="s">
        <v>300</v>
      </c>
      <c r="BJ30" s="559" t="s">
        <v>300</v>
      </c>
      <c r="BK30" s="559" t="s">
        <v>300</v>
      </c>
      <c r="BL30" s="559" t="s">
        <v>300</v>
      </c>
      <c r="BM30" s="559" t="s">
        <v>300</v>
      </c>
      <c r="BN30" s="559" t="s">
        <v>300</v>
      </c>
      <c r="BO30" s="559" t="s">
        <v>300</v>
      </c>
      <c r="BP30" s="559" t="s">
        <v>300</v>
      </c>
      <c r="BQ30" s="559" t="s">
        <v>300</v>
      </c>
      <c r="BR30" s="559" t="s">
        <v>300</v>
      </c>
      <c r="BS30" s="559" t="s">
        <v>300</v>
      </c>
      <c r="BT30" s="559" t="s">
        <v>300</v>
      </c>
      <c r="BU30" s="559" t="s">
        <v>300</v>
      </c>
      <c r="BV30" s="559" t="s">
        <v>300</v>
      </c>
      <c r="BW30" s="559" t="s">
        <v>300</v>
      </c>
      <c r="BX30" s="559" t="s">
        <v>300</v>
      </c>
      <c r="BY30" s="559" t="s">
        <v>300</v>
      </c>
      <c r="BZ30" s="559" t="s">
        <v>300</v>
      </c>
      <c r="CA30" s="559" t="s">
        <v>300</v>
      </c>
      <c r="CB30" s="559" t="s">
        <v>300</v>
      </c>
      <c r="CC30" s="559" t="s">
        <v>300</v>
      </c>
      <c r="CD30" s="554"/>
      <c r="CE30" s="554"/>
      <c r="CF30" s="554"/>
      <c r="CG30" s="554"/>
      <c r="CH30" s="554"/>
      <c r="CI30" s="554"/>
      <c r="CJ30" s="554"/>
      <c r="CK30" s="554"/>
      <c r="CL30" s="554"/>
      <c r="CM30" s="554"/>
      <c r="CN30" s="554"/>
      <c r="CO30" s="554"/>
      <c r="CP30" s="554"/>
      <c r="CQ30" s="554"/>
      <c r="CR30" s="554"/>
      <c r="CS30" s="554"/>
      <c r="CT30" s="554"/>
      <c r="CU30" s="554"/>
      <c r="CV30" s="554"/>
      <c r="CW30" s="554"/>
      <c r="CX30" s="554"/>
      <c r="CY30" s="554"/>
      <c r="CZ30" s="554"/>
      <c r="DA30" s="554"/>
      <c r="DB30" s="554"/>
      <c r="DC30" s="554"/>
      <c r="DD30" s="554"/>
      <c r="DE30" s="534"/>
      <c r="DF30" s="534"/>
      <c r="DG30" s="534"/>
    </row>
    <row r="31" spans="1:111" ht="15" hidden="1" x14ac:dyDescent="0.25">
      <c r="A31" s="549" t="str">
        <f>IF(Control!$D$5="N","-",1)</f>
        <v>-</v>
      </c>
      <c r="B31" s="555" t="s">
        <v>558</v>
      </c>
      <c r="C31" s="555" t="s">
        <v>559</v>
      </c>
      <c r="D31" s="555" t="s">
        <v>560</v>
      </c>
      <c r="E31" s="556" t="s">
        <v>22</v>
      </c>
      <c r="F31" s="556" t="s">
        <v>22</v>
      </c>
      <c r="G31" s="556" t="str">
        <f>IFERROR(IF(MID('Load Criteria'!X31,FIND("_",'Load Criteria'!X31,1)+1,1)=LEFT(Control!$D$23,1),"YES","-"),"-")</f>
        <v>YES</v>
      </c>
      <c r="H31" s="549" t="str">
        <f>IF(INDEX('Weather Cases'!$G$10:$G$94,MATCH('Load Criteria'!X31,'Weather Cases'!$H$10:$H$94,0),1)="H","YES","")</f>
        <v>YES</v>
      </c>
      <c r="I31" s="557" t="s">
        <v>299</v>
      </c>
      <c r="J31" s="550">
        <f t="shared" si="7"/>
        <v>100</v>
      </c>
      <c r="K31" s="550" t="s">
        <v>60</v>
      </c>
      <c r="L31" s="550" t="s">
        <v>24</v>
      </c>
      <c r="M31" s="550"/>
      <c r="N31" s="550"/>
      <c r="O31" s="550"/>
      <c r="P31" s="392"/>
      <c r="Q31" s="392"/>
      <c r="R31" s="392"/>
      <c r="S31" s="392"/>
      <c r="T31" s="392"/>
      <c r="U31" s="550" t="s">
        <v>247</v>
      </c>
      <c r="V31" s="551" t="s">
        <v>300</v>
      </c>
      <c r="W31" s="542" t="str">
        <f t="shared" si="6"/>
        <v>MW0100_A8+DA Max</v>
      </c>
      <c r="X31" s="552" t="str">
        <f>I31&amp;TEXT(J31,"0000")&amp;"_"&amp;LEFT(Control!$D$23,1)&amp;LEFT(Control!$D$22,LEN(Control!$D$22)-2)</f>
        <v>MW0100_A8</v>
      </c>
      <c r="Y31" s="552" t="s">
        <v>433</v>
      </c>
      <c r="Z31" s="552" t="str">
        <f t="shared" si="8"/>
        <v>Max</v>
      </c>
      <c r="AA31" s="552"/>
      <c r="AB31" s="552">
        <v>1</v>
      </c>
      <c r="AC31" s="552">
        <v>1</v>
      </c>
      <c r="AD31" s="552">
        <v>1</v>
      </c>
      <c r="AE31" s="552">
        <v>1</v>
      </c>
      <c r="AF31" s="552">
        <v>1</v>
      </c>
      <c r="AG31" s="542" t="s">
        <v>561</v>
      </c>
      <c r="AH31" s="552">
        <v>0</v>
      </c>
      <c r="AI31" s="552">
        <v>0</v>
      </c>
      <c r="AJ31" s="552">
        <v>1</v>
      </c>
      <c r="AK31" s="552">
        <v>1</v>
      </c>
      <c r="AL31" s="552">
        <v>1</v>
      </c>
      <c r="AM31" s="552">
        <v>0</v>
      </c>
      <c r="AN31" s="552">
        <v>0</v>
      </c>
      <c r="AO31" s="552">
        <v>1</v>
      </c>
      <c r="AP31" s="552">
        <v>1</v>
      </c>
      <c r="AQ31" s="552">
        <v>1</v>
      </c>
      <c r="AR31" s="552">
        <v>1</v>
      </c>
      <c r="AS31" s="552">
        <v>1</v>
      </c>
      <c r="AT31" s="552">
        <v>1</v>
      </c>
      <c r="AU31" s="552"/>
      <c r="AV31" s="553" t="str">
        <f>IF(H31="YES","'"&amp;INDEX('Structure Groups'!$C$12:$C$14,MATCH('Load Criteria'!$B$5,'Structure Groups'!$B$12:$B$14,0),1)&amp;"'","'All'")</f>
        <v>'GL Max 800m'</v>
      </c>
      <c r="AW31" s="552" t="s">
        <v>562</v>
      </c>
      <c r="AX31" s="552"/>
      <c r="AY31" s="552" t="str">
        <f t="shared" si="2"/>
        <v>Yes</v>
      </c>
      <c r="AZ31" s="554" t="str">
        <f t="shared" si="3"/>
        <v>Ahead Spans</v>
      </c>
      <c r="BA31" s="554" t="str">
        <f t="shared" si="4"/>
        <v>% Wire Wind Pressure</v>
      </c>
      <c r="BB31" s="552">
        <f t="shared" si="5"/>
        <v>75</v>
      </c>
      <c r="BC31" s="559" t="s">
        <v>300</v>
      </c>
      <c r="BD31" s="559" t="s">
        <v>300</v>
      </c>
      <c r="BE31" s="559" t="s">
        <v>300</v>
      </c>
      <c r="BF31" s="559" t="s">
        <v>300</v>
      </c>
      <c r="BG31" s="559" t="s">
        <v>300</v>
      </c>
      <c r="BH31" s="559" t="s">
        <v>300</v>
      </c>
      <c r="BI31" s="559" t="s">
        <v>300</v>
      </c>
      <c r="BJ31" s="559" t="s">
        <v>300</v>
      </c>
      <c r="BK31" s="559" t="s">
        <v>300</v>
      </c>
      <c r="BL31" s="559" t="s">
        <v>300</v>
      </c>
      <c r="BM31" s="559" t="s">
        <v>300</v>
      </c>
      <c r="BN31" s="559" t="s">
        <v>300</v>
      </c>
      <c r="BO31" s="559" t="s">
        <v>300</v>
      </c>
      <c r="BP31" s="559" t="s">
        <v>300</v>
      </c>
      <c r="BQ31" s="559" t="s">
        <v>300</v>
      </c>
      <c r="BR31" s="559" t="s">
        <v>300</v>
      </c>
      <c r="BS31" s="559" t="s">
        <v>300</v>
      </c>
      <c r="BT31" s="559" t="s">
        <v>300</v>
      </c>
      <c r="BU31" s="559" t="s">
        <v>300</v>
      </c>
      <c r="BV31" s="559" t="s">
        <v>300</v>
      </c>
      <c r="BW31" s="559" t="s">
        <v>300</v>
      </c>
      <c r="BX31" s="559" t="s">
        <v>300</v>
      </c>
      <c r="BY31" s="559" t="s">
        <v>300</v>
      </c>
      <c r="BZ31" s="559" t="s">
        <v>300</v>
      </c>
      <c r="CA31" s="559" t="s">
        <v>300</v>
      </c>
      <c r="CB31" s="559" t="s">
        <v>300</v>
      </c>
      <c r="CC31" s="559" t="s">
        <v>300</v>
      </c>
      <c r="CD31" s="554"/>
      <c r="CE31" s="554"/>
      <c r="CF31" s="554"/>
      <c r="CG31" s="554"/>
      <c r="CH31" s="554"/>
      <c r="CI31" s="554"/>
      <c r="CJ31" s="554"/>
      <c r="CK31" s="554"/>
      <c r="CL31" s="554"/>
      <c r="CM31" s="554"/>
      <c r="CN31" s="554"/>
      <c r="CO31" s="554"/>
      <c r="CP31" s="554"/>
      <c r="CQ31" s="554"/>
      <c r="CR31" s="554"/>
      <c r="CS31" s="554"/>
      <c r="CT31" s="554"/>
      <c r="CU31" s="554"/>
      <c r="CV31" s="554"/>
      <c r="CW31" s="554"/>
      <c r="CX31" s="554"/>
      <c r="CY31" s="554"/>
      <c r="CZ31" s="554"/>
      <c r="DA31" s="554"/>
      <c r="DB31" s="554"/>
      <c r="DC31" s="554"/>
      <c r="DD31" s="554"/>
      <c r="DE31" s="534"/>
      <c r="DF31" s="534"/>
      <c r="DG31" s="534"/>
    </row>
    <row r="32" spans="1:111" ht="15" hidden="1" x14ac:dyDescent="0.25">
      <c r="A32" s="549" t="str">
        <f>IF(Control!$D$5="N","-",1)</f>
        <v>-</v>
      </c>
      <c r="B32" s="555" t="s">
        <v>558</v>
      </c>
      <c r="C32" s="555" t="s">
        <v>559</v>
      </c>
      <c r="D32" s="555" t="s">
        <v>560</v>
      </c>
      <c r="E32" s="556" t="s">
        <v>22</v>
      </c>
      <c r="F32" s="556" t="s">
        <v>22</v>
      </c>
      <c r="G32" s="556" t="str">
        <f>IFERROR(IF(MID('Load Criteria'!X32,FIND("_",'Load Criteria'!X32,1)+1,1)=LEFT(Control!$D$23,1),"YES","-"),"-")</f>
        <v>YES</v>
      </c>
      <c r="H32" s="549" t="str">
        <f>IF(INDEX('Weather Cases'!$G$10:$G$94,MATCH('Load Criteria'!X32,'Weather Cases'!$H$10:$H$94,0),1)="H","YES","")</f>
        <v>YES</v>
      </c>
      <c r="I32" s="557" t="s">
        <v>299</v>
      </c>
      <c r="J32" s="550">
        <f t="shared" si="7"/>
        <v>75</v>
      </c>
      <c r="K32" s="550" t="s">
        <v>60</v>
      </c>
      <c r="L32" s="550" t="s">
        <v>24</v>
      </c>
      <c r="M32" s="550"/>
      <c r="N32" s="550"/>
      <c r="O32" s="550"/>
      <c r="P32" s="392"/>
      <c r="Q32" s="392"/>
      <c r="R32" s="392"/>
      <c r="S32" s="392"/>
      <c r="T32" s="392"/>
      <c r="U32" s="550" t="s">
        <v>247</v>
      </c>
      <c r="V32" s="551" t="s">
        <v>300</v>
      </c>
      <c r="W32" s="542" t="str">
        <f t="shared" si="6"/>
        <v>MW0075_A8+DA Max</v>
      </c>
      <c r="X32" s="552" t="str">
        <f>I32&amp;TEXT(J32,"0000")&amp;"_"&amp;LEFT(Control!$D$23,1)&amp;LEFT(Control!$D$22,LEN(Control!$D$22)-2)</f>
        <v>MW0075_A8</v>
      </c>
      <c r="Y32" s="552" t="s">
        <v>433</v>
      </c>
      <c r="Z32" s="552" t="str">
        <f t="shared" si="8"/>
        <v>Max</v>
      </c>
      <c r="AA32" s="552"/>
      <c r="AB32" s="552">
        <v>1</v>
      </c>
      <c r="AC32" s="552">
        <v>1</v>
      </c>
      <c r="AD32" s="552">
        <v>1</v>
      </c>
      <c r="AE32" s="552">
        <v>1</v>
      </c>
      <c r="AF32" s="552">
        <v>1</v>
      </c>
      <c r="AG32" s="542" t="s">
        <v>561</v>
      </c>
      <c r="AH32" s="552">
        <v>0</v>
      </c>
      <c r="AI32" s="552">
        <v>0</v>
      </c>
      <c r="AJ32" s="552">
        <v>1</v>
      </c>
      <c r="AK32" s="552">
        <v>1</v>
      </c>
      <c r="AL32" s="552">
        <v>1</v>
      </c>
      <c r="AM32" s="552">
        <v>0</v>
      </c>
      <c r="AN32" s="552">
        <v>0</v>
      </c>
      <c r="AO32" s="552">
        <v>1</v>
      </c>
      <c r="AP32" s="552">
        <v>1</v>
      </c>
      <c r="AQ32" s="552">
        <v>1</v>
      </c>
      <c r="AR32" s="552">
        <v>1</v>
      </c>
      <c r="AS32" s="552">
        <v>1</v>
      </c>
      <c r="AT32" s="552">
        <v>1</v>
      </c>
      <c r="AU32" s="552"/>
      <c r="AV32" s="553" t="str">
        <f>IF(H32="YES","'"&amp;INDEX('Structure Groups'!$C$12:$C$14,MATCH('Load Criteria'!$B$5,'Structure Groups'!$B$12:$B$14,0),1)&amp;"'","'All'")</f>
        <v>'GL Max 800m'</v>
      </c>
      <c r="AW32" s="552" t="s">
        <v>562</v>
      </c>
      <c r="AX32" s="552"/>
      <c r="AY32" s="552" t="str">
        <f t="shared" si="2"/>
        <v>Yes</v>
      </c>
      <c r="AZ32" s="554" t="str">
        <f t="shared" si="3"/>
        <v>Ahead Spans</v>
      </c>
      <c r="BA32" s="554" t="str">
        <f t="shared" si="4"/>
        <v>% Wire Wind Pressure</v>
      </c>
      <c r="BB32" s="552">
        <f t="shared" si="5"/>
        <v>75</v>
      </c>
      <c r="BC32" s="559" t="s">
        <v>300</v>
      </c>
      <c r="BD32" s="559" t="s">
        <v>300</v>
      </c>
      <c r="BE32" s="559" t="s">
        <v>300</v>
      </c>
      <c r="BF32" s="559" t="s">
        <v>300</v>
      </c>
      <c r="BG32" s="559" t="s">
        <v>300</v>
      </c>
      <c r="BH32" s="559" t="s">
        <v>300</v>
      </c>
      <c r="BI32" s="559" t="s">
        <v>300</v>
      </c>
      <c r="BJ32" s="559" t="s">
        <v>300</v>
      </c>
      <c r="BK32" s="559" t="s">
        <v>300</v>
      </c>
      <c r="BL32" s="559" t="s">
        <v>300</v>
      </c>
      <c r="BM32" s="559" t="s">
        <v>300</v>
      </c>
      <c r="BN32" s="559" t="s">
        <v>300</v>
      </c>
      <c r="BO32" s="559" t="s">
        <v>300</v>
      </c>
      <c r="BP32" s="559" t="s">
        <v>300</v>
      </c>
      <c r="BQ32" s="559" t="s">
        <v>300</v>
      </c>
      <c r="BR32" s="559" t="s">
        <v>300</v>
      </c>
      <c r="BS32" s="559" t="s">
        <v>300</v>
      </c>
      <c r="BT32" s="559" t="s">
        <v>300</v>
      </c>
      <c r="BU32" s="559" t="s">
        <v>300</v>
      </c>
      <c r="BV32" s="559" t="s">
        <v>300</v>
      </c>
      <c r="BW32" s="559" t="s">
        <v>300</v>
      </c>
      <c r="BX32" s="559" t="s">
        <v>300</v>
      </c>
      <c r="BY32" s="559" t="s">
        <v>300</v>
      </c>
      <c r="BZ32" s="559" t="s">
        <v>300</v>
      </c>
      <c r="CA32" s="559" t="s">
        <v>300</v>
      </c>
      <c r="CB32" s="559" t="s">
        <v>300</v>
      </c>
      <c r="CC32" s="559" t="s">
        <v>300</v>
      </c>
      <c r="CD32" s="554"/>
      <c r="CE32" s="554"/>
      <c r="CF32" s="554"/>
      <c r="CG32" s="554"/>
      <c r="CH32" s="554"/>
      <c r="CI32" s="554"/>
      <c r="CJ32" s="554"/>
      <c r="CK32" s="554"/>
      <c r="CL32" s="554"/>
      <c r="CM32" s="554"/>
      <c r="CN32" s="554"/>
      <c r="CO32" s="554"/>
      <c r="CP32" s="554"/>
      <c r="CQ32" s="554"/>
      <c r="CR32" s="554"/>
      <c r="CS32" s="554"/>
      <c r="CT32" s="554"/>
      <c r="CU32" s="554"/>
      <c r="CV32" s="554"/>
      <c r="CW32" s="554"/>
      <c r="CX32" s="554"/>
      <c r="CY32" s="554"/>
      <c r="CZ32" s="554"/>
      <c r="DA32" s="554"/>
      <c r="DB32" s="554"/>
      <c r="DC32" s="554"/>
      <c r="DD32" s="554"/>
      <c r="DE32" s="534"/>
      <c r="DF32" s="534"/>
      <c r="DG32" s="534"/>
    </row>
    <row r="33" spans="1:111" ht="15" hidden="1" x14ac:dyDescent="0.25">
      <c r="A33" s="549" t="str">
        <f>IF(Control!$D$5="N","-",1)</f>
        <v>-</v>
      </c>
      <c r="B33" s="555" t="s">
        <v>558</v>
      </c>
      <c r="C33" s="555" t="s">
        <v>559</v>
      </c>
      <c r="D33" s="555" t="s">
        <v>560</v>
      </c>
      <c r="E33" s="556" t="s">
        <v>22</v>
      </c>
      <c r="F33" s="556" t="s">
        <v>22</v>
      </c>
      <c r="G33" s="556" t="str">
        <f>IFERROR(IF(MID('Load Criteria'!X33,FIND("_",'Load Criteria'!X33,1)+1,1)=LEFT(Control!$D$23,1),"YES","-"),"-")</f>
        <v>YES</v>
      </c>
      <c r="H33" s="549" t="str">
        <f>IF(INDEX('Weather Cases'!$G$10:$G$94,MATCH('Load Criteria'!X33,'Weather Cases'!$H$10:$H$94,0),1)="H","YES","")</f>
        <v>YES</v>
      </c>
      <c r="I33" s="557" t="s">
        <v>299</v>
      </c>
      <c r="J33" s="550">
        <f t="shared" si="7"/>
        <v>50</v>
      </c>
      <c r="K33" s="550" t="s">
        <v>60</v>
      </c>
      <c r="L33" s="550" t="s">
        <v>24</v>
      </c>
      <c r="M33" s="550"/>
      <c r="N33" s="550"/>
      <c r="O33" s="550"/>
      <c r="P33" s="392"/>
      <c r="Q33" s="392"/>
      <c r="R33" s="392"/>
      <c r="S33" s="392"/>
      <c r="T33" s="392"/>
      <c r="U33" s="550" t="s">
        <v>247</v>
      </c>
      <c r="V33" s="551" t="s">
        <v>300</v>
      </c>
      <c r="W33" s="542" t="str">
        <f t="shared" si="6"/>
        <v>MW0050_A8+DA Max</v>
      </c>
      <c r="X33" s="552" t="str">
        <f>I33&amp;TEXT(J33,"0000")&amp;"_"&amp;LEFT(Control!$D$23,1)&amp;LEFT(Control!$D$22,LEN(Control!$D$22)-2)</f>
        <v>MW0050_A8</v>
      </c>
      <c r="Y33" s="552" t="s">
        <v>433</v>
      </c>
      <c r="Z33" s="552" t="str">
        <f t="shared" si="8"/>
        <v>Max</v>
      </c>
      <c r="AA33" s="552"/>
      <c r="AB33" s="552">
        <v>1</v>
      </c>
      <c r="AC33" s="552">
        <v>1</v>
      </c>
      <c r="AD33" s="552">
        <v>1</v>
      </c>
      <c r="AE33" s="552">
        <v>1</v>
      </c>
      <c r="AF33" s="552">
        <v>1</v>
      </c>
      <c r="AG33" s="542" t="s">
        <v>561</v>
      </c>
      <c r="AH33" s="552">
        <v>0</v>
      </c>
      <c r="AI33" s="552">
        <v>0</v>
      </c>
      <c r="AJ33" s="552">
        <v>1</v>
      </c>
      <c r="AK33" s="552">
        <v>1</v>
      </c>
      <c r="AL33" s="552">
        <v>1</v>
      </c>
      <c r="AM33" s="552">
        <v>0</v>
      </c>
      <c r="AN33" s="552">
        <v>0</v>
      </c>
      <c r="AO33" s="552">
        <v>1</v>
      </c>
      <c r="AP33" s="552">
        <v>1</v>
      </c>
      <c r="AQ33" s="552">
        <v>1</v>
      </c>
      <c r="AR33" s="552">
        <v>1</v>
      </c>
      <c r="AS33" s="552">
        <v>1</v>
      </c>
      <c r="AT33" s="552">
        <v>1</v>
      </c>
      <c r="AU33" s="552"/>
      <c r="AV33" s="553" t="str">
        <f>IF(H33="YES","'"&amp;INDEX('Structure Groups'!$C$12:$C$14,MATCH('Load Criteria'!$B$5,'Structure Groups'!$B$12:$B$14,0),1)&amp;"'","'All'")</f>
        <v>'GL Max 800m'</v>
      </c>
      <c r="AW33" s="552" t="s">
        <v>562</v>
      </c>
      <c r="AX33" s="552"/>
      <c r="AY33" s="552" t="str">
        <f t="shared" si="2"/>
        <v>Yes</v>
      </c>
      <c r="AZ33" s="554" t="str">
        <f t="shared" si="3"/>
        <v>Ahead Spans</v>
      </c>
      <c r="BA33" s="554" t="str">
        <f t="shared" si="4"/>
        <v>% Wire Wind Pressure</v>
      </c>
      <c r="BB33" s="552">
        <f t="shared" si="5"/>
        <v>75</v>
      </c>
      <c r="BC33" s="559" t="s">
        <v>300</v>
      </c>
      <c r="BD33" s="559" t="s">
        <v>300</v>
      </c>
      <c r="BE33" s="559" t="s">
        <v>300</v>
      </c>
      <c r="BF33" s="559" t="s">
        <v>300</v>
      </c>
      <c r="BG33" s="559" t="s">
        <v>300</v>
      </c>
      <c r="BH33" s="559" t="s">
        <v>300</v>
      </c>
      <c r="BI33" s="559" t="s">
        <v>300</v>
      </c>
      <c r="BJ33" s="559" t="s">
        <v>300</v>
      </c>
      <c r="BK33" s="559" t="s">
        <v>300</v>
      </c>
      <c r="BL33" s="559" t="s">
        <v>300</v>
      </c>
      <c r="BM33" s="559" t="s">
        <v>300</v>
      </c>
      <c r="BN33" s="559" t="s">
        <v>300</v>
      </c>
      <c r="BO33" s="559" t="s">
        <v>300</v>
      </c>
      <c r="BP33" s="559" t="s">
        <v>300</v>
      </c>
      <c r="BQ33" s="559" t="s">
        <v>300</v>
      </c>
      <c r="BR33" s="559" t="s">
        <v>300</v>
      </c>
      <c r="BS33" s="559" t="s">
        <v>300</v>
      </c>
      <c r="BT33" s="559" t="s">
        <v>300</v>
      </c>
      <c r="BU33" s="559" t="s">
        <v>300</v>
      </c>
      <c r="BV33" s="559" t="s">
        <v>300</v>
      </c>
      <c r="BW33" s="559" t="s">
        <v>300</v>
      </c>
      <c r="BX33" s="559" t="s">
        <v>300</v>
      </c>
      <c r="BY33" s="559" t="s">
        <v>300</v>
      </c>
      <c r="BZ33" s="559" t="s">
        <v>300</v>
      </c>
      <c r="CA33" s="559" t="s">
        <v>300</v>
      </c>
      <c r="CB33" s="559" t="s">
        <v>300</v>
      </c>
      <c r="CC33" s="559" t="s">
        <v>300</v>
      </c>
      <c r="CD33" s="554"/>
      <c r="CE33" s="554"/>
      <c r="CF33" s="554"/>
      <c r="CG33" s="554"/>
      <c r="CH33" s="554"/>
      <c r="CI33" s="554"/>
      <c r="CJ33" s="554"/>
      <c r="CK33" s="554"/>
      <c r="CL33" s="554"/>
      <c r="CM33" s="554"/>
      <c r="CN33" s="554"/>
      <c r="CO33" s="554"/>
      <c r="CP33" s="554"/>
      <c r="CQ33" s="554"/>
      <c r="CR33" s="554"/>
      <c r="CS33" s="554"/>
      <c r="CT33" s="554"/>
      <c r="CU33" s="554"/>
      <c r="CV33" s="554"/>
      <c r="CW33" s="554"/>
      <c r="CX33" s="554"/>
      <c r="CY33" s="554"/>
      <c r="CZ33" s="554"/>
      <c r="DA33" s="554"/>
      <c r="DB33" s="554"/>
      <c r="DC33" s="554"/>
      <c r="DD33" s="554"/>
      <c r="DE33" s="534"/>
      <c r="DF33" s="534"/>
      <c r="DG33" s="534"/>
    </row>
    <row r="34" spans="1:111" ht="15" hidden="1" x14ac:dyDescent="0.25">
      <c r="A34" s="549" t="str">
        <f>IF(Control!$D$5="N","-",1)</f>
        <v>-</v>
      </c>
      <c r="B34" s="555" t="s">
        <v>558</v>
      </c>
      <c r="C34" s="555" t="s">
        <v>559</v>
      </c>
      <c r="D34" s="555" t="s">
        <v>560</v>
      </c>
      <c r="E34" s="556" t="s">
        <v>22</v>
      </c>
      <c r="F34" s="556" t="s">
        <v>22</v>
      </c>
      <c r="G34" s="556" t="str">
        <f>IFERROR(IF(MID('Load Criteria'!X34,FIND("_",'Load Criteria'!X34,1)+1,1)=LEFT(Control!$D$23,1),"YES","-"),"-")</f>
        <v>YES</v>
      </c>
      <c r="H34" s="549" t="str">
        <f>IF(INDEX('Weather Cases'!$G$10:$G$94,MATCH('Load Criteria'!X34,'Weather Cases'!$H$10:$H$94,0),1)="H","YES","")</f>
        <v>YES</v>
      </c>
      <c r="I34" s="557" t="s">
        <v>299</v>
      </c>
      <c r="J34" s="550">
        <f t="shared" si="7"/>
        <v>25</v>
      </c>
      <c r="K34" s="550" t="s">
        <v>60</v>
      </c>
      <c r="L34" s="550" t="s">
        <v>24</v>
      </c>
      <c r="M34" s="550"/>
      <c r="N34" s="550"/>
      <c r="O34" s="550"/>
      <c r="P34" s="392"/>
      <c r="Q34" s="392"/>
      <c r="R34" s="392"/>
      <c r="S34" s="392"/>
      <c r="T34" s="392"/>
      <c r="U34" s="550" t="s">
        <v>247</v>
      </c>
      <c r="V34" s="551" t="s">
        <v>300</v>
      </c>
      <c r="W34" s="542" t="str">
        <f t="shared" si="6"/>
        <v>MW0025_A8+DA Max</v>
      </c>
      <c r="X34" s="552" t="str">
        <f>I34&amp;TEXT(J34,"0000")&amp;"_"&amp;LEFT(Control!$D$23,1)&amp;LEFT(Control!$D$22,LEN(Control!$D$22)-2)</f>
        <v>MW0025_A8</v>
      </c>
      <c r="Y34" s="552" t="s">
        <v>433</v>
      </c>
      <c r="Z34" s="552" t="str">
        <f t="shared" si="8"/>
        <v>Max</v>
      </c>
      <c r="AA34" s="552"/>
      <c r="AB34" s="552">
        <v>1</v>
      </c>
      <c r="AC34" s="552">
        <v>1</v>
      </c>
      <c r="AD34" s="552">
        <v>1</v>
      </c>
      <c r="AE34" s="552">
        <v>1</v>
      </c>
      <c r="AF34" s="552">
        <v>1</v>
      </c>
      <c r="AG34" s="542" t="s">
        <v>561</v>
      </c>
      <c r="AH34" s="552">
        <v>0</v>
      </c>
      <c r="AI34" s="552">
        <v>0</v>
      </c>
      <c r="AJ34" s="552">
        <v>1</v>
      </c>
      <c r="AK34" s="552">
        <v>1</v>
      </c>
      <c r="AL34" s="552">
        <v>1</v>
      </c>
      <c r="AM34" s="552">
        <v>0</v>
      </c>
      <c r="AN34" s="552">
        <v>0</v>
      </c>
      <c r="AO34" s="552">
        <v>1</v>
      </c>
      <c r="AP34" s="552">
        <v>1</v>
      </c>
      <c r="AQ34" s="552">
        <v>1</v>
      </c>
      <c r="AR34" s="552">
        <v>1</v>
      </c>
      <c r="AS34" s="552">
        <v>1</v>
      </c>
      <c r="AT34" s="552">
        <v>1</v>
      </c>
      <c r="AU34" s="552"/>
      <c r="AV34" s="553" t="str">
        <f>IF(H34="YES","'"&amp;INDEX('Structure Groups'!$C$12:$C$14,MATCH('Load Criteria'!$B$5,'Structure Groups'!$B$12:$B$14,0),1)&amp;"'","'All'")</f>
        <v>'GL Max 800m'</v>
      </c>
      <c r="AW34" s="552" t="s">
        <v>562</v>
      </c>
      <c r="AX34" s="552"/>
      <c r="AY34" s="552" t="str">
        <f t="shared" si="2"/>
        <v>Yes</v>
      </c>
      <c r="AZ34" s="554" t="str">
        <f t="shared" si="3"/>
        <v>Ahead Spans</v>
      </c>
      <c r="BA34" s="554" t="str">
        <f t="shared" si="4"/>
        <v>% Wire Wind Pressure</v>
      </c>
      <c r="BB34" s="552">
        <f t="shared" si="5"/>
        <v>75</v>
      </c>
      <c r="BC34" s="559" t="s">
        <v>300</v>
      </c>
      <c r="BD34" s="559" t="s">
        <v>300</v>
      </c>
      <c r="BE34" s="559" t="s">
        <v>300</v>
      </c>
      <c r="BF34" s="559" t="s">
        <v>300</v>
      </c>
      <c r="BG34" s="559" t="s">
        <v>300</v>
      </c>
      <c r="BH34" s="559" t="s">
        <v>300</v>
      </c>
      <c r="BI34" s="559" t="s">
        <v>300</v>
      </c>
      <c r="BJ34" s="559" t="s">
        <v>300</v>
      </c>
      <c r="BK34" s="559" t="s">
        <v>300</v>
      </c>
      <c r="BL34" s="559" t="s">
        <v>300</v>
      </c>
      <c r="BM34" s="559" t="s">
        <v>300</v>
      </c>
      <c r="BN34" s="559" t="s">
        <v>300</v>
      </c>
      <c r="BO34" s="559" t="s">
        <v>300</v>
      </c>
      <c r="BP34" s="559" t="s">
        <v>300</v>
      </c>
      <c r="BQ34" s="559" t="s">
        <v>300</v>
      </c>
      <c r="BR34" s="559" t="s">
        <v>300</v>
      </c>
      <c r="BS34" s="559" t="s">
        <v>300</v>
      </c>
      <c r="BT34" s="559" t="s">
        <v>300</v>
      </c>
      <c r="BU34" s="559" t="s">
        <v>300</v>
      </c>
      <c r="BV34" s="559" t="s">
        <v>300</v>
      </c>
      <c r="BW34" s="559" t="s">
        <v>300</v>
      </c>
      <c r="BX34" s="559" t="s">
        <v>300</v>
      </c>
      <c r="BY34" s="559" t="s">
        <v>300</v>
      </c>
      <c r="BZ34" s="559" t="s">
        <v>300</v>
      </c>
      <c r="CA34" s="559" t="s">
        <v>300</v>
      </c>
      <c r="CB34" s="559" t="s">
        <v>300</v>
      </c>
      <c r="CC34" s="559" t="s">
        <v>300</v>
      </c>
      <c r="CD34" s="554"/>
      <c r="CE34" s="554"/>
      <c r="CF34" s="554"/>
      <c r="CG34" s="554"/>
      <c r="CH34" s="554"/>
      <c r="CI34" s="554"/>
      <c r="CJ34" s="554"/>
      <c r="CK34" s="554"/>
      <c r="CL34" s="554"/>
      <c r="CM34" s="554"/>
      <c r="CN34" s="554"/>
      <c r="CO34" s="554"/>
      <c r="CP34" s="554"/>
      <c r="CQ34" s="554"/>
      <c r="CR34" s="554"/>
      <c r="CS34" s="554"/>
      <c r="CT34" s="554"/>
      <c r="CU34" s="554"/>
      <c r="CV34" s="554"/>
      <c r="CW34" s="554"/>
      <c r="CX34" s="554"/>
      <c r="CY34" s="554"/>
      <c r="CZ34" s="554"/>
      <c r="DA34" s="554"/>
      <c r="DB34" s="554"/>
      <c r="DC34" s="554"/>
      <c r="DD34" s="554"/>
      <c r="DE34" s="534"/>
      <c r="DF34" s="534"/>
      <c r="DG34" s="534"/>
    </row>
    <row r="35" spans="1:111" ht="15" hidden="1" x14ac:dyDescent="0.25">
      <c r="A35" s="549" t="str">
        <f>IF(Control!$D$5="N","-",1)</f>
        <v>-</v>
      </c>
      <c r="B35" s="555" t="s">
        <v>558</v>
      </c>
      <c r="C35" s="555" t="s">
        <v>559</v>
      </c>
      <c r="D35" s="555" t="s">
        <v>560</v>
      </c>
      <c r="E35" s="556" t="s">
        <v>22</v>
      </c>
      <c r="F35" s="556" t="s">
        <v>22</v>
      </c>
      <c r="G35" s="556" t="str">
        <f>IFERROR(IF(MID('Load Criteria'!X35,FIND("_",'Load Criteria'!X35,1)+1,1)=LEFT(Control!$D$23,1),"YES","-"),"-")</f>
        <v>YES</v>
      </c>
      <c r="H35" s="549" t="str">
        <f>IF(INDEX('Weather Cases'!$G$10:$G$94,MATCH('Load Criteria'!X35,'Weather Cases'!$H$10:$H$94,0),1)="H","YES","")</f>
        <v>YES</v>
      </c>
      <c r="I35" s="557" t="s">
        <v>299</v>
      </c>
      <c r="J35" s="550">
        <f t="shared" si="7"/>
        <v>15</v>
      </c>
      <c r="K35" s="550" t="s">
        <v>60</v>
      </c>
      <c r="L35" s="550" t="s">
        <v>24</v>
      </c>
      <c r="M35" s="550"/>
      <c r="N35" s="550"/>
      <c r="O35" s="550"/>
      <c r="P35" s="392"/>
      <c r="Q35" s="392"/>
      <c r="R35" s="392"/>
      <c r="S35" s="392"/>
      <c r="T35" s="392"/>
      <c r="U35" s="550" t="s">
        <v>247</v>
      </c>
      <c r="V35" s="551" t="s">
        <v>300</v>
      </c>
      <c r="W35" s="542" t="str">
        <f t="shared" si="6"/>
        <v>MW0015_A8+DA Max</v>
      </c>
      <c r="X35" s="552" t="str">
        <f>I35&amp;TEXT(J35,"0000")&amp;"_"&amp;LEFT(Control!$D$23,1)&amp;LEFT(Control!$D$22,LEN(Control!$D$22)-2)</f>
        <v>MW0015_A8</v>
      </c>
      <c r="Y35" s="552" t="s">
        <v>433</v>
      </c>
      <c r="Z35" s="552" t="str">
        <f t="shared" si="8"/>
        <v>Max</v>
      </c>
      <c r="AA35" s="552"/>
      <c r="AB35" s="552">
        <v>1</v>
      </c>
      <c r="AC35" s="552">
        <v>1</v>
      </c>
      <c r="AD35" s="552">
        <v>1</v>
      </c>
      <c r="AE35" s="552">
        <v>1</v>
      </c>
      <c r="AF35" s="552">
        <v>1</v>
      </c>
      <c r="AG35" s="542" t="s">
        <v>561</v>
      </c>
      <c r="AH35" s="552">
        <v>0</v>
      </c>
      <c r="AI35" s="552">
        <v>0</v>
      </c>
      <c r="AJ35" s="552">
        <v>1</v>
      </c>
      <c r="AK35" s="552">
        <v>1</v>
      </c>
      <c r="AL35" s="552">
        <v>1</v>
      </c>
      <c r="AM35" s="552">
        <v>0</v>
      </c>
      <c r="AN35" s="552">
        <v>0</v>
      </c>
      <c r="AO35" s="552">
        <v>1</v>
      </c>
      <c r="AP35" s="552">
        <v>1</v>
      </c>
      <c r="AQ35" s="552">
        <v>1</v>
      </c>
      <c r="AR35" s="552">
        <v>1</v>
      </c>
      <c r="AS35" s="552">
        <v>1</v>
      </c>
      <c r="AT35" s="552">
        <v>1</v>
      </c>
      <c r="AU35" s="552"/>
      <c r="AV35" s="553" t="str">
        <f>IF(H35="YES","'"&amp;INDEX('Structure Groups'!$C$12:$C$14,MATCH('Load Criteria'!$B$5,'Structure Groups'!$B$12:$B$14,0),1)&amp;"'","'All'")</f>
        <v>'GL Max 800m'</v>
      </c>
      <c r="AW35" s="552" t="s">
        <v>562</v>
      </c>
      <c r="AX35" s="552"/>
      <c r="AY35" s="552" t="str">
        <f t="shared" si="2"/>
        <v>Yes</v>
      </c>
      <c r="AZ35" s="554" t="str">
        <f t="shared" si="3"/>
        <v>Ahead Spans</v>
      </c>
      <c r="BA35" s="554" t="str">
        <f t="shared" si="4"/>
        <v>% Wire Wind Pressure</v>
      </c>
      <c r="BB35" s="552">
        <f t="shared" si="5"/>
        <v>75</v>
      </c>
      <c r="BC35" s="559" t="s">
        <v>300</v>
      </c>
      <c r="BD35" s="559" t="s">
        <v>300</v>
      </c>
      <c r="BE35" s="559" t="s">
        <v>300</v>
      </c>
      <c r="BF35" s="559" t="s">
        <v>300</v>
      </c>
      <c r="BG35" s="559" t="s">
        <v>300</v>
      </c>
      <c r="BH35" s="559" t="s">
        <v>300</v>
      </c>
      <c r="BI35" s="559" t="s">
        <v>300</v>
      </c>
      <c r="BJ35" s="559" t="s">
        <v>300</v>
      </c>
      <c r="BK35" s="559" t="s">
        <v>300</v>
      </c>
      <c r="BL35" s="559" t="s">
        <v>300</v>
      </c>
      <c r="BM35" s="559" t="s">
        <v>300</v>
      </c>
      <c r="BN35" s="559" t="s">
        <v>300</v>
      </c>
      <c r="BO35" s="559" t="s">
        <v>300</v>
      </c>
      <c r="BP35" s="559" t="s">
        <v>300</v>
      </c>
      <c r="BQ35" s="559" t="s">
        <v>300</v>
      </c>
      <c r="BR35" s="559" t="s">
        <v>300</v>
      </c>
      <c r="BS35" s="559" t="s">
        <v>300</v>
      </c>
      <c r="BT35" s="559" t="s">
        <v>300</v>
      </c>
      <c r="BU35" s="559" t="s">
        <v>300</v>
      </c>
      <c r="BV35" s="559" t="s">
        <v>300</v>
      </c>
      <c r="BW35" s="559" t="s">
        <v>300</v>
      </c>
      <c r="BX35" s="559" t="s">
        <v>300</v>
      </c>
      <c r="BY35" s="559" t="s">
        <v>300</v>
      </c>
      <c r="BZ35" s="559" t="s">
        <v>300</v>
      </c>
      <c r="CA35" s="559" t="s">
        <v>300</v>
      </c>
      <c r="CB35" s="559" t="s">
        <v>300</v>
      </c>
      <c r="CC35" s="559" t="s">
        <v>300</v>
      </c>
      <c r="CD35" s="554"/>
      <c r="CE35" s="554"/>
      <c r="CF35" s="554"/>
      <c r="CG35" s="554"/>
      <c r="CH35" s="554"/>
      <c r="CI35" s="554"/>
      <c r="CJ35" s="554"/>
      <c r="CK35" s="554"/>
      <c r="CL35" s="554"/>
      <c r="CM35" s="554"/>
      <c r="CN35" s="554"/>
      <c r="CO35" s="554"/>
      <c r="CP35" s="554"/>
      <c r="CQ35" s="554"/>
      <c r="CR35" s="554"/>
      <c r="CS35" s="554"/>
      <c r="CT35" s="554"/>
      <c r="CU35" s="554"/>
      <c r="CV35" s="554"/>
      <c r="CW35" s="554"/>
      <c r="CX35" s="554"/>
      <c r="CY35" s="554"/>
      <c r="CZ35" s="554"/>
      <c r="DA35" s="554"/>
      <c r="DB35" s="554"/>
      <c r="DC35" s="554"/>
      <c r="DD35" s="554"/>
      <c r="DE35" s="534"/>
      <c r="DF35" s="534"/>
      <c r="DG35" s="534"/>
    </row>
    <row r="36" spans="1:111" ht="15" hidden="1" x14ac:dyDescent="0.25">
      <c r="A36" s="549" t="str">
        <f>IF(Control!$D$5="N","-",1)</f>
        <v>-</v>
      </c>
      <c r="B36" s="555" t="s">
        <v>558</v>
      </c>
      <c r="C36" s="555" t="s">
        <v>559</v>
      </c>
      <c r="D36" s="555" t="s">
        <v>560</v>
      </c>
      <c r="E36" s="556" t="s">
        <v>22</v>
      </c>
      <c r="F36" s="556" t="s">
        <v>22</v>
      </c>
      <c r="G36" s="556" t="str">
        <f>IFERROR(IF(MID('Load Criteria'!X36,FIND("_",'Load Criteria'!X36,1)+1,1)=LEFT(Control!$D$23,1),"YES","-"),"-")</f>
        <v>YES</v>
      </c>
      <c r="H36" s="549" t="str">
        <f>IF(INDEX('Weather Cases'!$G$10:$G$94,MATCH('Load Criteria'!X36,'Weather Cases'!$H$10:$H$94,0),1)="H","YES","")</f>
        <v>YES</v>
      </c>
      <c r="I36" s="557" t="s">
        <v>299</v>
      </c>
      <c r="J36" s="550">
        <f t="shared" si="7"/>
        <v>10</v>
      </c>
      <c r="K36" s="550" t="s">
        <v>60</v>
      </c>
      <c r="L36" s="550" t="s">
        <v>24</v>
      </c>
      <c r="M36" s="550"/>
      <c r="N36" s="550"/>
      <c r="O36" s="550"/>
      <c r="P36" s="392"/>
      <c r="Q36" s="392"/>
      <c r="R36" s="392"/>
      <c r="S36" s="392"/>
      <c r="T36" s="392"/>
      <c r="U36" s="550" t="s">
        <v>247</v>
      </c>
      <c r="V36" s="551" t="s">
        <v>300</v>
      </c>
      <c r="W36" s="542" t="str">
        <f t="shared" si="6"/>
        <v>MW0010_A8+DA Max</v>
      </c>
      <c r="X36" s="552" t="str">
        <f>I36&amp;TEXT(J36,"0000")&amp;"_"&amp;LEFT(Control!$D$23,1)&amp;LEFT(Control!$D$22,LEN(Control!$D$22)-2)</f>
        <v>MW0010_A8</v>
      </c>
      <c r="Y36" s="552" t="s">
        <v>433</v>
      </c>
      <c r="Z36" s="552" t="str">
        <f t="shared" si="8"/>
        <v>Max</v>
      </c>
      <c r="AA36" s="552"/>
      <c r="AB36" s="552">
        <v>1</v>
      </c>
      <c r="AC36" s="552">
        <v>1</v>
      </c>
      <c r="AD36" s="552">
        <v>1</v>
      </c>
      <c r="AE36" s="552">
        <v>1</v>
      </c>
      <c r="AF36" s="552">
        <v>1</v>
      </c>
      <c r="AG36" s="542" t="s">
        <v>561</v>
      </c>
      <c r="AH36" s="552">
        <v>0</v>
      </c>
      <c r="AI36" s="552">
        <v>0</v>
      </c>
      <c r="AJ36" s="552">
        <v>1</v>
      </c>
      <c r="AK36" s="552">
        <v>1</v>
      </c>
      <c r="AL36" s="552">
        <v>1</v>
      </c>
      <c r="AM36" s="552">
        <v>0</v>
      </c>
      <c r="AN36" s="552">
        <v>0</v>
      </c>
      <c r="AO36" s="552">
        <v>1</v>
      </c>
      <c r="AP36" s="552">
        <v>1</v>
      </c>
      <c r="AQ36" s="552">
        <v>1</v>
      </c>
      <c r="AR36" s="552">
        <v>1</v>
      </c>
      <c r="AS36" s="552">
        <v>1</v>
      </c>
      <c r="AT36" s="552">
        <v>1</v>
      </c>
      <c r="AU36" s="552"/>
      <c r="AV36" s="553" t="str">
        <f>IF(H36="YES","'"&amp;INDEX('Structure Groups'!$C$12:$C$14,MATCH('Load Criteria'!$B$5,'Structure Groups'!$B$12:$B$14,0),1)&amp;"'","'All'")</f>
        <v>'GL Max 800m'</v>
      </c>
      <c r="AW36" s="552" t="s">
        <v>562</v>
      </c>
      <c r="AX36" s="552"/>
      <c r="AY36" s="552" t="str">
        <f t="shared" si="2"/>
        <v>Yes</v>
      </c>
      <c r="AZ36" s="554" t="str">
        <f t="shared" si="3"/>
        <v>Ahead Spans</v>
      </c>
      <c r="BA36" s="554" t="str">
        <f t="shared" si="4"/>
        <v>% Wire Wind Pressure</v>
      </c>
      <c r="BB36" s="552">
        <f t="shared" si="5"/>
        <v>75</v>
      </c>
      <c r="BC36" s="559" t="s">
        <v>300</v>
      </c>
      <c r="BD36" s="559" t="s">
        <v>300</v>
      </c>
      <c r="BE36" s="559" t="s">
        <v>300</v>
      </c>
      <c r="BF36" s="559" t="s">
        <v>300</v>
      </c>
      <c r="BG36" s="559" t="s">
        <v>300</v>
      </c>
      <c r="BH36" s="559" t="s">
        <v>300</v>
      </c>
      <c r="BI36" s="559" t="s">
        <v>300</v>
      </c>
      <c r="BJ36" s="559" t="s">
        <v>300</v>
      </c>
      <c r="BK36" s="559" t="s">
        <v>300</v>
      </c>
      <c r="BL36" s="559" t="s">
        <v>300</v>
      </c>
      <c r="BM36" s="559" t="s">
        <v>300</v>
      </c>
      <c r="BN36" s="559" t="s">
        <v>300</v>
      </c>
      <c r="BO36" s="559" t="s">
        <v>300</v>
      </c>
      <c r="BP36" s="559" t="s">
        <v>300</v>
      </c>
      <c r="BQ36" s="559" t="s">
        <v>300</v>
      </c>
      <c r="BR36" s="559" t="s">
        <v>300</v>
      </c>
      <c r="BS36" s="559" t="s">
        <v>300</v>
      </c>
      <c r="BT36" s="559" t="s">
        <v>300</v>
      </c>
      <c r="BU36" s="559" t="s">
        <v>300</v>
      </c>
      <c r="BV36" s="559" t="s">
        <v>300</v>
      </c>
      <c r="BW36" s="559" t="s">
        <v>300</v>
      </c>
      <c r="BX36" s="559" t="s">
        <v>300</v>
      </c>
      <c r="BY36" s="559" t="s">
        <v>300</v>
      </c>
      <c r="BZ36" s="559" t="s">
        <v>300</v>
      </c>
      <c r="CA36" s="559" t="s">
        <v>300</v>
      </c>
      <c r="CB36" s="559" t="s">
        <v>300</v>
      </c>
      <c r="CC36" s="559" t="s">
        <v>300</v>
      </c>
      <c r="CD36" s="554"/>
      <c r="CE36" s="554"/>
      <c r="CF36" s="554"/>
      <c r="CG36" s="554"/>
      <c r="CH36" s="554"/>
      <c r="CI36" s="554"/>
      <c r="CJ36" s="554"/>
      <c r="CK36" s="554"/>
      <c r="CL36" s="554"/>
      <c r="CM36" s="554"/>
      <c r="CN36" s="554"/>
      <c r="CO36" s="554"/>
      <c r="CP36" s="554"/>
      <c r="CQ36" s="554"/>
      <c r="CR36" s="554"/>
      <c r="CS36" s="554"/>
      <c r="CT36" s="554"/>
      <c r="CU36" s="554"/>
      <c r="CV36" s="554"/>
      <c r="CW36" s="554"/>
      <c r="CX36" s="554"/>
      <c r="CY36" s="554"/>
      <c r="CZ36" s="554"/>
      <c r="DA36" s="554"/>
      <c r="DB36" s="554"/>
      <c r="DC36" s="554"/>
      <c r="DD36" s="554"/>
      <c r="DE36" s="534"/>
      <c r="DF36" s="534"/>
      <c r="DG36" s="534"/>
    </row>
    <row r="37" spans="1:111" ht="15" hidden="1" x14ac:dyDescent="0.25">
      <c r="A37" s="549" t="str">
        <f>IF(Control!$D$5="N","-",1)</f>
        <v>-</v>
      </c>
      <c r="B37" s="555" t="s">
        <v>558</v>
      </c>
      <c r="C37" s="555" t="s">
        <v>559</v>
      </c>
      <c r="D37" s="555" t="s">
        <v>560</v>
      </c>
      <c r="E37" s="556" t="s">
        <v>22</v>
      </c>
      <c r="F37" s="556" t="s">
        <v>22</v>
      </c>
      <c r="G37" s="556" t="str">
        <f>IFERROR(IF(MID('Load Criteria'!X37,FIND("_",'Load Criteria'!X37,1)+1,1)=LEFT(Control!$D$23,1),"YES","-"),"-")</f>
        <v>YES</v>
      </c>
      <c r="H37" s="549" t="str">
        <f>IF(INDEX('Weather Cases'!$G$10:$G$94,MATCH('Load Criteria'!X37,'Weather Cases'!$H$10:$H$94,0),1)="H","YES","")</f>
        <v>YES</v>
      </c>
      <c r="I37" s="557" t="s">
        <v>299</v>
      </c>
      <c r="J37" s="550">
        <f t="shared" si="7"/>
        <v>4</v>
      </c>
      <c r="K37" s="550" t="s">
        <v>60</v>
      </c>
      <c r="L37" s="550" t="s">
        <v>24</v>
      </c>
      <c r="M37" s="550"/>
      <c r="N37" s="550"/>
      <c r="O37" s="550"/>
      <c r="P37" s="392"/>
      <c r="Q37" s="392"/>
      <c r="R37" s="392"/>
      <c r="S37" s="392"/>
      <c r="T37" s="392"/>
      <c r="U37" s="550" t="s">
        <v>247</v>
      </c>
      <c r="V37" s="551" t="s">
        <v>300</v>
      </c>
      <c r="W37" s="542" t="str">
        <f t="shared" si="6"/>
        <v>MW0004_A8+DA Max</v>
      </c>
      <c r="X37" s="552" t="str">
        <f>I37&amp;TEXT(J37,"0000")&amp;"_"&amp;LEFT(Control!$D$23,1)&amp;LEFT(Control!$D$22,LEN(Control!$D$22)-2)</f>
        <v>MW0004_A8</v>
      </c>
      <c r="Y37" s="552" t="s">
        <v>433</v>
      </c>
      <c r="Z37" s="552" t="str">
        <f t="shared" si="8"/>
        <v>Max</v>
      </c>
      <c r="AA37" s="552"/>
      <c r="AB37" s="552">
        <v>1</v>
      </c>
      <c r="AC37" s="552">
        <v>1</v>
      </c>
      <c r="AD37" s="552">
        <v>1</v>
      </c>
      <c r="AE37" s="552">
        <v>1</v>
      </c>
      <c r="AF37" s="552">
        <v>1</v>
      </c>
      <c r="AG37" s="542" t="s">
        <v>561</v>
      </c>
      <c r="AH37" s="552">
        <v>0</v>
      </c>
      <c r="AI37" s="552">
        <v>0</v>
      </c>
      <c r="AJ37" s="552">
        <v>1</v>
      </c>
      <c r="AK37" s="552">
        <v>1</v>
      </c>
      <c r="AL37" s="552">
        <v>1</v>
      </c>
      <c r="AM37" s="552">
        <v>0</v>
      </c>
      <c r="AN37" s="552">
        <v>0</v>
      </c>
      <c r="AO37" s="552">
        <v>1</v>
      </c>
      <c r="AP37" s="552">
        <v>1</v>
      </c>
      <c r="AQ37" s="552">
        <v>1</v>
      </c>
      <c r="AR37" s="552">
        <v>1</v>
      </c>
      <c r="AS37" s="552">
        <v>1</v>
      </c>
      <c r="AT37" s="552">
        <v>1</v>
      </c>
      <c r="AU37" s="552"/>
      <c r="AV37" s="553" t="str">
        <f>IF(H37="YES","'"&amp;INDEX('Structure Groups'!$C$12:$C$14,MATCH('Load Criteria'!$B$5,'Structure Groups'!$B$12:$B$14,0),1)&amp;"'","'All'")</f>
        <v>'GL Max 800m'</v>
      </c>
      <c r="AW37" s="552" t="s">
        <v>562</v>
      </c>
      <c r="AX37" s="552"/>
      <c r="AY37" s="552" t="str">
        <f t="shared" si="2"/>
        <v>Yes</v>
      </c>
      <c r="AZ37" s="554" t="str">
        <f t="shared" si="3"/>
        <v>Ahead Spans</v>
      </c>
      <c r="BA37" s="554" t="str">
        <f t="shared" si="4"/>
        <v>% Wire Wind Pressure</v>
      </c>
      <c r="BB37" s="552">
        <f t="shared" si="5"/>
        <v>75</v>
      </c>
      <c r="BC37" s="559" t="s">
        <v>300</v>
      </c>
      <c r="BD37" s="559" t="s">
        <v>300</v>
      </c>
      <c r="BE37" s="559" t="s">
        <v>300</v>
      </c>
      <c r="BF37" s="559" t="s">
        <v>300</v>
      </c>
      <c r="BG37" s="559" t="s">
        <v>300</v>
      </c>
      <c r="BH37" s="559" t="s">
        <v>300</v>
      </c>
      <c r="BI37" s="559" t="s">
        <v>300</v>
      </c>
      <c r="BJ37" s="559" t="s">
        <v>300</v>
      </c>
      <c r="BK37" s="559" t="s">
        <v>300</v>
      </c>
      <c r="BL37" s="559" t="s">
        <v>300</v>
      </c>
      <c r="BM37" s="559" t="s">
        <v>300</v>
      </c>
      <c r="BN37" s="559" t="s">
        <v>300</v>
      </c>
      <c r="BO37" s="559" t="s">
        <v>300</v>
      </c>
      <c r="BP37" s="559" t="s">
        <v>300</v>
      </c>
      <c r="BQ37" s="559" t="s">
        <v>300</v>
      </c>
      <c r="BR37" s="559" t="s">
        <v>300</v>
      </c>
      <c r="BS37" s="559" t="s">
        <v>300</v>
      </c>
      <c r="BT37" s="559" t="s">
        <v>300</v>
      </c>
      <c r="BU37" s="559" t="s">
        <v>300</v>
      </c>
      <c r="BV37" s="559" t="s">
        <v>300</v>
      </c>
      <c r="BW37" s="559" t="s">
        <v>300</v>
      </c>
      <c r="BX37" s="559" t="s">
        <v>300</v>
      </c>
      <c r="BY37" s="559" t="s">
        <v>300</v>
      </c>
      <c r="BZ37" s="559" t="s">
        <v>300</v>
      </c>
      <c r="CA37" s="559" t="s">
        <v>300</v>
      </c>
      <c r="CB37" s="559" t="s">
        <v>300</v>
      </c>
      <c r="CC37" s="559" t="s">
        <v>300</v>
      </c>
      <c r="CD37" s="554"/>
      <c r="CE37" s="554"/>
      <c r="CF37" s="554"/>
      <c r="CG37" s="554"/>
      <c r="CH37" s="554"/>
      <c r="CI37" s="554"/>
      <c r="CJ37" s="554"/>
      <c r="CK37" s="554"/>
      <c r="CL37" s="554"/>
      <c r="CM37" s="554"/>
      <c r="CN37" s="554"/>
      <c r="CO37" s="554"/>
      <c r="CP37" s="554"/>
      <c r="CQ37" s="554"/>
      <c r="CR37" s="554"/>
      <c r="CS37" s="554"/>
      <c r="CT37" s="554"/>
      <c r="CU37" s="554"/>
      <c r="CV37" s="554"/>
      <c r="CW37" s="554"/>
      <c r="CX37" s="554"/>
      <c r="CY37" s="554"/>
      <c r="CZ37" s="554"/>
      <c r="DA37" s="554"/>
      <c r="DB37" s="554"/>
      <c r="DC37" s="554"/>
      <c r="DD37" s="554"/>
      <c r="DE37" s="534"/>
      <c r="DF37" s="534"/>
      <c r="DG37" s="534"/>
    </row>
    <row r="38" spans="1:111" ht="15" hidden="1" x14ac:dyDescent="0.25">
      <c r="A38" s="549" t="str">
        <f>IF(Control!$D$5="N","-",1)</f>
        <v>-</v>
      </c>
      <c r="B38" s="555" t="s">
        <v>558</v>
      </c>
      <c r="C38" s="555" t="s">
        <v>559</v>
      </c>
      <c r="D38" s="555" t="s">
        <v>560</v>
      </c>
      <c r="E38" s="556" t="s">
        <v>22</v>
      </c>
      <c r="F38" s="556" t="s">
        <v>22</v>
      </c>
      <c r="G38" s="556" t="str">
        <f>IFERROR(IF(MID('Load Criteria'!X38,FIND("_",'Load Criteria'!X38,1)+1,1)=LEFT(Control!$D$23,1),"YES","-"),"-")</f>
        <v>YES</v>
      </c>
      <c r="H38" s="549" t="str">
        <f>IF(INDEX('Weather Cases'!$G$10:$G$94,MATCH('Load Criteria'!X38,'Weather Cases'!$H$10:$H$94,0),1)="H","YES","")</f>
        <v>YES</v>
      </c>
      <c r="I38" s="557" t="s">
        <v>299</v>
      </c>
      <c r="J38" s="550">
        <f t="shared" si="7"/>
        <v>2</v>
      </c>
      <c r="K38" s="550" t="s">
        <v>60</v>
      </c>
      <c r="L38" s="550" t="s">
        <v>24</v>
      </c>
      <c r="M38" s="550"/>
      <c r="N38" s="550"/>
      <c r="O38" s="550"/>
      <c r="P38" s="392"/>
      <c r="Q38" s="392"/>
      <c r="R38" s="392"/>
      <c r="S38" s="392"/>
      <c r="T38" s="392"/>
      <c r="U38" s="550" t="s">
        <v>247</v>
      </c>
      <c r="V38" s="551" t="s">
        <v>300</v>
      </c>
      <c r="W38" s="542" t="str">
        <f t="shared" si="6"/>
        <v>MW0002_A8+DA Max</v>
      </c>
      <c r="X38" s="552" t="str">
        <f>I38&amp;TEXT(J38,"0000")&amp;"_"&amp;LEFT(Control!$D$23,1)&amp;LEFT(Control!$D$22,LEN(Control!$D$22)-2)</f>
        <v>MW0002_A8</v>
      </c>
      <c r="Y38" s="552" t="s">
        <v>433</v>
      </c>
      <c r="Z38" s="552" t="str">
        <f t="shared" si="8"/>
        <v>Max</v>
      </c>
      <c r="AA38" s="552"/>
      <c r="AB38" s="552">
        <v>1</v>
      </c>
      <c r="AC38" s="552">
        <v>1</v>
      </c>
      <c r="AD38" s="552">
        <v>1</v>
      </c>
      <c r="AE38" s="552">
        <v>1</v>
      </c>
      <c r="AF38" s="552">
        <v>1</v>
      </c>
      <c r="AG38" s="542" t="s">
        <v>561</v>
      </c>
      <c r="AH38" s="552">
        <v>0</v>
      </c>
      <c r="AI38" s="552">
        <v>0</v>
      </c>
      <c r="AJ38" s="552">
        <v>1</v>
      </c>
      <c r="AK38" s="552">
        <v>1</v>
      </c>
      <c r="AL38" s="552">
        <v>1</v>
      </c>
      <c r="AM38" s="552">
        <v>0</v>
      </c>
      <c r="AN38" s="552">
        <v>0</v>
      </c>
      <c r="AO38" s="552">
        <v>1</v>
      </c>
      <c r="AP38" s="552">
        <v>1</v>
      </c>
      <c r="AQ38" s="552">
        <v>1</v>
      </c>
      <c r="AR38" s="552">
        <v>1</v>
      </c>
      <c r="AS38" s="552">
        <v>1</v>
      </c>
      <c r="AT38" s="552">
        <v>1</v>
      </c>
      <c r="AU38" s="552"/>
      <c r="AV38" s="553" t="str">
        <f>IF(H38="YES","'"&amp;INDEX('Structure Groups'!$C$12:$C$14,MATCH('Load Criteria'!$B$5,'Structure Groups'!$B$12:$B$14,0),1)&amp;"'","'All'")</f>
        <v>'GL Max 800m'</v>
      </c>
      <c r="AW38" s="552" t="s">
        <v>562</v>
      </c>
      <c r="AX38" s="552"/>
      <c r="AY38" s="552" t="str">
        <f t="shared" si="2"/>
        <v>Yes</v>
      </c>
      <c r="AZ38" s="554" t="str">
        <f t="shared" si="3"/>
        <v>Ahead Spans</v>
      </c>
      <c r="BA38" s="554" t="str">
        <f t="shared" si="4"/>
        <v>% Wire Wind Pressure</v>
      </c>
      <c r="BB38" s="552">
        <f t="shared" si="5"/>
        <v>75</v>
      </c>
      <c r="BC38" s="559" t="s">
        <v>300</v>
      </c>
      <c r="BD38" s="559" t="s">
        <v>300</v>
      </c>
      <c r="BE38" s="559" t="s">
        <v>300</v>
      </c>
      <c r="BF38" s="559" t="s">
        <v>300</v>
      </c>
      <c r="BG38" s="559" t="s">
        <v>300</v>
      </c>
      <c r="BH38" s="559" t="s">
        <v>300</v>
      </c>
      <c r="BI38" s="559" t="s">
        <v>300</v>
      </c>
      <c r="BJ38" s="559" t="s">
        <v>300</v>
      </c>
      <c r="BK38" s="559" t="s">
        <v>300</v>
      </c>
      <c r="BL38" s="559" t="s">
        <v>300</v>
      </c>
      <c r="BM38" s="559" t="s">
        <v>300</v>
      </c>
      <c r="BN38" s="559" t="s">
        <v>300</v>
      </c>
      <c r="BO38" s="559" t="s">
        <v>300</v>
      </c>
      <c r="BP38" s="559" t="s">
        <v>300</v>
      </c>
      <c r="BQ38" s="559" t="s">
        <v>300</v>
      </c>
      <c r="BR38" s="559" t="s">
        <v>300</v>
      </c>
      <c r="BS38" s="559" t="s">
        <v>300</v>
      </c>
      <c r="BT38" s="559" t="s">
        <v>300</v>
      </c>
      <c r="BU38" s="559" t="s">
        <v>300</v>
      </c>
      <c r="BV38" s="559" t="s">
        <v>300</v>
      </c>
      <c r="BW38" s="559" t="s">
        <v>300</v>
      </c>
      <c r="BX38" s="559" t="s">
        <v>300</v>
      </c>
      <c r="BY38" s="559" t="s">
        <v>300</v>
      </c>
      <c r="BZ38" s="559" t="s">
        <v>300</v>
      </c>
      <c r="CA38" s="559" t="s">
        <v>300</v>
      </c>
      <c r="CB38" s="559" t="s">
        <v>300</v>
      </c>
      <c r="CC38" s="559" t="s">
        <v>300</v>
      </c>
      <c r="CD38" s="554"/>
      <c r="CE38" s="554"/>
      <c r="CF38" s="554"/>
      <c r="CG38" s="554"/>
      <c r="CH38" s="554"/>
      <c r="CI38" s="554"/>
      <c r="CJ38" s="554"/>
      <c r="CK38" s="554"/>
      <c r="CL38" s="554"/>
      <c r="CM38" s="554"/>
      <c r="CN38" s="554"/>
      <c r="CO38" s="554"/>
      <c r="CP38" s="554"/>
      <c r="CQ38" s="554"/>
      <c r="CR38" s="554"/>
      <c r="CS38" s="554"/>
      <c r="CT38" s="554"/>
      <c r="CU38" s="554"/>
      <c r="CV38" s="554"/>
      <c r="CW38" s="554"/>
      <c r="CX38" s="554"/>
      <c r="CY38" s="554"/>
      <c r="CZ38" s="554"/>
      <c r="DA38" s="554"/>
      <c r="DB38" s="554"/>
      <c r="DC38" s="554"/>
      <c r="DD38" s="554"/>
      <c r="DE38" s="534"/>
      <c r="DF38" s="534"/>
      <c r="DG38" s="534"/>
    </row>
    <row r="39" spans="1:111" ht="15" hidden="1" x14ac:dyDescent="0.25">
      <c r="A39" s="549" t="str">
        <f>IF(Control!$D$5="N","-",1)</f>
        <v>-</v>
      </c>
      <c r="B39" s="555" t="s">
        <v>558</v>
      </c>
      <c r="C39" s="555" t="s">
        <v>559</v>
      </c>
      <c r="D39" s="555" t="s">
        <v>560</v>
      </c>
      <c r="E39" s="556" t="s">
        <v>22</v>
      </c>
      <c r="F39" s="556" t="s">
        <v>22</v>
      </c>
      <c r="G39" s="556" t="str">
        <f>IFERROR(IF(MID('Load Criteria'!X39,FIND("_",'Load Criteria'!X39,1)+1,1)=LEFT(Control!$D$23,1),"YES","-"),"-")</f>
        <v>YES</v>
      </c>
      <c r="H39" s="549" t="str">
        <f>IF(INDEX('Weather Cases'!$G$10:$G$94,MATCH('Load Criteria'!X39,'Weather Cases'!$H$10:$H$94,0),1)="H","YES","")</f>
        <v>YES</v>
      </c>
      <c r="I39" s="557" t="s">
        <v>299</v>
      </c>
      <c r="J39" s="550">
        <f t="shared" si="7"/>
        <v>1000</v>
      </c>
      <c r="K39" s="550" t="s">
        <v>60</v>
      </c>
      <c r="L39" s="550" t="s">
        <v>40</v>
      </c>
      <c r="M39" s="550"/>
      <c r="N39" s="550"/>
      <c r="O39" s="550"/>
      <c r="P39" s="392"/>
      <c r="Q39" s="392"/>
      <c r="R39" s="392"/>
      <c r="S39" s="392"/>
      <c r="T39" s="392"/>
      <c r="U39" s="550" t="s">
        <v>247</v>
      </c>
      <c r="V39" s="551" t="s">
        <v>300</v>
      </c>
      <c r="W39" s="542" t="str">
        <f t="shared" si="6"/>
        <v>MW1000_A8+DB Max</v>
      </c>
      <c r="X39" s="552" t="str">
        <f>I39&amp;TEXT(J39,"0000")&amp;"_"&amp;LEFT(Control!$D$23,1)&amp;LEFT(Control!$D$22,LEN(Control!$D$22)-2)</f>
        <v>MW1000_A8</v>
      </c>
      <c r="Y39" s="552" t="s">
        <v>433</v>
      </c>
      <c r="Z39" s="552" t="str">
        <f t="shared" si="8"/>
        <v>Max</v>
      </c>
      <c r="AA39" s="552"/>
      <c r="AB39" s="552">
        <v>1</v>
      </c>
      <c r="AC39" s="552">
        <v>1</v>
      </c>
      <c r="AD39" s="552">
        <v>1</v>
      </c>
      <c r="AE39" s="552">
        <v>1</v>
      </c>
      <c r="AF39" s="552">
        <v>1</v>
      </c>
      <c r="AG39" s="542" t="s">
        <v>561</v>
      </c>
      <c r="AH39" s="552">
        <v>0</v>
      </c>
      <c r="AI39" s="552">
        <v>0</v>
      </c>
      <c r="AJ39" s="552">
        <v>1</v>
      </c>
      <c r="AK39" s="552">
        <v>1</v>
      </c>
      <c r="AL39" s="552">
        <v>1</v>
      </c>
      <c r="AM39" s="552">
        <v>0</v>
      </c>
      <c r="AN39" s="552">
        <v>0</v>
      </c>
      <c r="AO39" s="552">
        <v>1</v>
      </c>
      <c r="AP39" s="552">
        <v>1</v>
      </c>
      <c r="AQ39" s="552">
        <v>1</v>
      </c>
      <c r="AR39" s="552">
        <v>1</v>
      </c>
      <c r="AS39" s="552">
        <v>1</v>
      </c>
      <c r="AT39" s="552">
        <v>1</v>
      </c>
      <c r="AU39" s="552"/>
      <c r="AV39" s="553" t="str">
        <f>IF(H39="YES","'"&amp;INDEX('Structure Groups'!$C$12:$C$14,MATCH('Load Criteria'!$B$5,'Structure Groups'!$B$12:$B$14,0),1)&amp;"'","'All'")</f>
        <v>'GL Max 800m'</v>
      </c>
      <c r="AW39" s="552" t="s">
        <v>562</v>
      </c>
      <c r="AX39" s="552"/>
      <c r="AY39" s="552" t="str">
        <f t="shared" si="2"/>
        <v>Yes</v>
      </c>
      <c r="AZ39" s="554" t="str">
        <f t="shared" si="3"/>
        <v>Back Spans</v>
      </c>
      <c r="BA39" s="554" t="str">
        <f t="shared" si="4"/>
        <v>% Wire Wind Pressure</v>
      </c>
      <c r="BB39" s="552">
        <f t="shared" si="5"/>
        <v>75</v>
      </c>
      <c r="BC39" s="559" t="s">
        <v>300</v>
      </c>
      <c r="BD39" s="559" t="s">
        <v>300</v>
      </c>
      <c r="BE39" s="559" t="s">
        <v>300</v>
      </c>
      <c r="BF39" s="559" t="s">
        <v>300</v>
      </c>
      <c r="BG39" s="559" t="s">
        <v>300</v>
      </c>
      <c r="BH39" s="559" t="s">
        <v>300</v>
      </c>
      <c r="BI39" s="559" t="s">
        <v>300</v>
      </c>
      <c r="BJ39" s="559" t="s">
        <v>300</v>
      </c>
      <c r="BK39" s="559" t="s">
        <v>300</v>
      </c>
      <c r="BL39" s="559" t="s">
        <v>300</v>
      </c>
      <c r="BM39" s="559" t="s">
        <v>300</v>
      </c>
      <c r="BN39" s="559" t="s">
        <v>300</v>
      </c>
      <c r="BO39" s="559" t="s">
        <v>300</v>
      </c>
      <c r="BP39" s="559" t="s">
        <v>300</v>
      </c>
      <c r="BQ39" s="559" t="s">
        <v>300</v>
      </c>
      <c r="BR39" s="559" t="s">
        <v>300</v>
      </c>
      <c r="BS39" s="559" t="s">
        <v>300</v>
      </c>
      <c r="BT39" s="559" t="s">
        <v>300</v>
      </c>
      <c r="BU39" s="559" t="s">
        <v>300</v>
      </c>
      <c r="BV39" s="559" t="s">
        <v>300</v>
      </c>
      <c r="BW39" s="559" t="s">
        <v>300</v>
      </c>
      <c r="BX39" s="559" t="s">
        <v>300</v>
      </c>
      <c r="BY39" s="559" t="s">
        <v>300</v>
      </c>
      <c r="BZ39" s="559" t="s">
        <v>300</v>
      </c>
      <c r="CA39" s="559" t="s">
        <v>300</v>
      </c>
      <c r="CB39" s="559" t="s">
        <v>300</v>
      </c>
      <c r="CC39" s="559" t="s">
        <v>300</v>
      </c>
      <c r="CD39" s="554"/>
      <c r="CE39" s="554"/>
      <c r="CF39" s="554"/>
      <c r="CG39" s="554"/>
      <c r="CH39" s="554"/>
      <c r="CI39" s="554"/>
      <c r="CJ39" s="554"/>
      <c r="CK39" s="554"/>
      <c r="CL39" s="554"/>
      <c r="CM39" s="554"/>
      <c r="CN39" s="554"/>
      <c r="CO39" s="554"/>
      <c r="CP39" s="554"/>
      <c r="CQ39" s="554"/>
      <c r="CR39" s="554"/>
      <c r="CS39" s="554"/>
      <c r="CT39" s="554"/>
      <c r="CU39" s="554"/>
      <c r="CV39" s="554"/>
      <c r="CW39" s="554"/>
      <c r="CX39" s="554"/>
      <c r="CY39" s="554"/>
      <c r="CZ39" s="554"/>
      <c r="DA39" s="554"/>
      <c r="DB39" s="554"/>
      <c r="DC39" s="554"/>
      <c r="DD39" s="554"/>
      <c r="DE39" s="534"/>
      <c r="DF39" s="534"/>
      <c r="DG39" s="534"/>
    </row>
    <row r="40" spans="1:111" ht="15" hidden="1" x14ac:dyDescent="0.25">
      <c r="A40" s="549" t="str">
        <f>IF(Control!$D$5="N","-",1)</f>
        <v>-</v>
      </c>
      <c r="B40" s="555" t="s">
        <v>558</v>
      </c>
      <c r="C40" s="555" t="s">
        <v>559</v>
      </c>
      <c r="D40" s="555" t="s">
        <v>560</v>
      </c>
      <c r="E40" s="556" t="s">
        <v>22</v>
      </c>
      <c r="F40" s="556" t="s">
        <v>22</v>
      </c>
      <c r="G40" s="556" t="str">
        <f>IFERROR(IF(MID('Load Criteria'!X40,FIND("_",'Load Criteria'!X40,1)+1,1)=LEFT(Control!$D$23,1),"YES","-"),"-")</f>
        <v>YES</v>
      </c>
      <c r="H40" s="549" t="str">
        <f>IF(INDEX('Weather Cases'!$G$10:$G$94,MATCH('Load Criteria'!X40,'Weather Cases'!$H$10:$H$94,0),1)="H","YES","")</f>
        <v>YES</v>
      </c>
      <c r="I40" s="557" t="s">
        <v>299</v>
      </c>
      <c r="J40" s="550">
        <f t="shared" ref="J40:J53" si="9">J25</f>
        <v>500</v>
      </c>
      <c r="K40" s="550" t="s">
        <v>60</v>
      </c>
      <c r="L40" s="550" t="s">
        <v>40</v>
      </c>
      <c r="M40" s="550"/>
      <c r="N40" s="550"/>
      <c r="O40" s="550"/>
      <c r="P40" s="392"/>
      <c r="Q40" s="392"/>
      <c r="R40" s="392"/>
      <c r="S40" s="392"/>
      <c r="T40" s="392"/>
      <c r="U40" s="550" t="s">
        <v>247</v>
      </c>
      <c r="V40" s="551" t="s">
        <v>300</v>
      </c>
      <c r="W40" s="542" t="str">
        <f t="shared" si="6"/>
        <v>MW0500_A8+DB Max</v>
      </c>
      <c r="X40" s="552" t="str">
        <f>I40&amp;TEXT(J40,"0000")&amp;"_"&amp;LEFT(Control!$D$23,1)&amp;LEFT(Control!$D$22,LEN(Control!$D$22)-2)</f>
        <v>MW0500_A8</v>
      </c>
      <c r="Y40" s="552" t="s">
        <v>433</v>
      </c>
      <c r="Z40" s="552" t="str">
        <f t="shared" si="8"/>
        <v>Max</v>
      </c>
      <c r="AA40" s="552"/>
      <c r="AB40" s="552">
        <v>1</v>
      </c>
      <c r="AC40" s="552">
        <v>1</v>
      </c>
      <c r="AD40" s="552">
        <v>1</v>
      </c>
      <c r="AE40" s="552">
        <v>1</v>
      </c>
      <c r="AF40" s="552">
        <v>1</v>
      </c>
      <c r="AG40" s="542" t="s">
        <v>561</v>
      </c>
      <c r="AH40" s="552">
        <v>0</v>
      </c>
      <c r="AI40" s="552">
        <v>0</v>
      </c>
      <c r="AJ40" s="552">
        <v>1</v>
      </c>
      <c r="AK40" s="552">
        <v>1</v>
      </c>
      <c r="AL40" s="552">
        <v>1</v>
      </c>
      <c r="AM40" s="552">
        <v>0</v>
      </c>
      <c r="AN40" s="552">
        <v>0</v>
      </c>
      <c r="AO40" s="552">
        <v>1</v>
      </c>
      <c r="AP40" s="552">
        <v>1</v>
      </c>
      <c r="AQ40" s="552">
        <v>1</v>
      </c>
      <c r="AR40" s="552">
        <v>1</v>
      </c>
      <c r="AS40" s="552">
        <v>1</v>
      </c>
      <c r="AT40" s="552">
        <v>1</v>
      </c>
      <c r="AU40" s="552"/>
      <c r="AV40" s="553" t="str">
        <f>IF(H40="YES","'"&amp;INDEX('Structure Groups'!$C$12:$C$14,MATCH('Load Criteria'!$B$5,'Structure Groups'!$B$12:$B$14,0),1)&amp;"'","'All'")</f>
        <v>'GL Max 800m'</v>
      </c>
      <c r="AW40" s="552" t="s">
        <v>562</v>
      </c>
      <c r="AX40" s="552"/>
      <c r="AY40" s="552" t="str">
        <f t="shared" si="2"/>
        <v>Yes</v>
      </c>
      <c r="AZ40" s="554" t="str">
        <f t="shared" si="3"/>
        <v>Back Spans</v>
      </c>
      <c r="BA40" s="554" t="str">
        <f t="shared" si="4"/>
        <v>% Wire Wind Pressure</v>
      </c>
      <c r="BB40" s="552">
        <f t="shared" si="5"/>
        <v>75</v>
      </c>
      <c r="BC40" s="559" t="s">
        <v>300</v>
      </c>
      <c r="BD40" s="559" t="s">
        <v>300</v>
      </c>
      <c r="BE40" s="559" t="s">
        <v>300</v>
      </c>
      <c r="BF40" s="559" t="s">
        <v>300</v>
      </c>
      <c r="BG40" s="559" t="s">
        <v>300</v>
      </c>
      <c r="BH40" s="559" t="s">
        <v>300</v>
      </c>
      <c r="BI40" s="559" t="s">
        <v>300</v>
      </c>
      <c r="BJ40" s="559" t="s">
        <v>300</v>
      </c>
      <c r="BK40" s="559" t="s">
        <v>300</v>
      </c>
      <c r="BL40" s="559" t="s">
        <v>300</v>
      </c>
      <c r="BM40" s="559" t="s">
        <v>300</v>
      </c>
      <c r="BN40" s="559" t="s">
        <v>300</v>
      </c>
      <c r="BO40" s="559" t="s">
        <v>300</v>
      </c>
      <c r="BP40" s="559" t="s">
        <v>300</v>
      </c>
      <c r="BQ40" s="559" t="s">
        <v>300</v>
      </c>
      <c r="BR40" s="559" t="s">
        <v>300</v>
      </c>
      <c r="BS40" s="559" t="s">
        <v>300</v>
      </c>
      <c r="BT40" s="559" t="s">
        <v>300</v>
      </c>
      <c r="BU40" s="559" t="s">
        <v>300</v>
      </c>
      <c r="BV40" s="559" t="s">
        <v>300</v>
      </c>
      <c r="BW40" s="559" t="s">
        <v>300</v>
      </c>
      <c r="BX40" s="559" t="s">
        <v>300</v>
      </c>
      <c r="BY40" s="559" t="s">
        <v>300</v>
      </c>
      <c r="BZ40" s="559" t="s">
        <v>300</v>
      </c>
      <c r="CA40" s="559" t="s">
        <v>300</v>
      </c>
      <c r="CB40" s="559" t="s">
        <v>300</v>
      </c>
      <c r="CC40" s="559" t="s">
        <v>300</v>
      </c>
      <c r="CD40" s="554"/>
      <c r="CE40" s="554"/>
      <c r="CF40" s="554"/>
      <c r="CG40" s="554"/>
      <c r="CH40" s="554"/>
      <c r="CI40" s="554"/>
      <c r="CJ40" s="554"/>
      <c r="CK40" s="554"/>
      <c r="CL40" s="554"/>
      <c r="CM40" s="554"/>
      <c r="CN40" s="554"/>
      <c r="CO40" s="554"/>
      <c r="CP40" s="554"/>
      <c r="CQ40" s="554"/>
      <c r="CR40" s="554"/>
      <c r="CS40" s="554"/>
      <c r="CT40" s="554"/>
      <c r="CU40" s="554"/>
      <c r="CV40" s="554"/>
      <c r="CW40" s="554"/>
      <c r="CX40" s="554"/>
      <c r="CY40" s="554"/>
      <c r="CZ40" s="554"/>
      <c r="DA40" s="554"/>
      <c r="DB40" s="554"/>
      <c r="DC40" s="554"/>
      <c r="DD40" s="554"/>
      <c r="DE40" s="534"/>
      <c r="DF40" s="534"/>
      <c r="DG40" s="534"/>
    </row>
    <row r="41" spans="1:111" ht="15" hidden="1" x14ac:dyDescent="0.25">
      <c r="A41" s="549" t="str">
        <f>IF(Control!$D$5="N","-",1)</f>
        <v>-</v>
      </c>
      <c r="B41" s="555" t="s">
        <v>558</v>
      </c>
      <c r="C41" s="555" t="s">
        <v>559</v>
      </c>
      <c r="D41" s="555" t="s">
        <v>560</v>
      </c>
      <c r="E41" s="556" t="s">
        <v>22</v>
      </c>
      <c r="F41" s="556" t="s">
        <v>22</v>
      </c>
      <c r="G41" s="556" t="str">
        <f>IFERROR(IF(MID('Load Criteria'!X41,FIND("_",'Load Criteria'!X41,1)+1,1)=LEFT(Control!$D$23,1),"YES","-"),"-")</f>
        <v>YES</v>
      </c>
      <c r="H41" s="549" t="str">
        <f>IF(INDEX('Weather Cases'!$G$10:$G$94,MATCH('Load Criteria'!X41,'Weather Cases'!$H$10:$H$94,0),1)="H","YES","")</f>
        <v>YES</v>
      </c>
      <c r="I41" s="557" t="s">
        <v>299</v>
      </c>
      <c r="J41" s="550">
        <f t="shared" si="9"/>
        <v>400</v>
      </c>
      <c r="K41" s="550" t="s">
        <v>60</v>
      </c>
      <c r="L41" s="550" t="s">
        <v>40</v>
      </c>
      <c r="M41" s="550"/>
      <c r="N41" s="550"/>
      <c r="O41" s="550"/>
      <c r="P41" s="392"/>
      <c r="Q41" s="392"/>
      <c r="R41" s="392"/>
      <c r="S41" s="392"/>
      <c r="T41" s="392"/>
      <c r="U41" s="550" t="s">
        <v>247</v>
      </c>
      <c r="V41" s="551" t="s">
        <v>300</v>
      </c>
      <c r="W41" s="542" t="str">
        <f t="shared" si="6"/>
        <v>MW0400_A8+DB Max</v>
      </c>
      <c r="X41" s="552" t="str">
        <f>I41&amp;TEXT(J41,"0000")&amp;"_"&amp;LEFT(Control!$D$23,1)&amp;LEFT(Control!$D$22,LEN(Control!$D$22)-2)</f>
        <v>MW0400_A8</v>
      </c>
      <c r="Y41" s="552" t="s">
        <v>433</v>
      </c>
      <c r="Z41" s="552" t="str">
        <f t="shared" si="8"/>
        <v>Max</v>
      </c>
      <c r="AA41" s="552"/>
      <c r="AB41" s="552">
        <v>1</v>
      </c>
      <c r="AC41" s="552">
        <v>1</v>
      </c>
      <c r="AD41" s="552">
        <v>1</v>
      </c>
      <c r="AE41" s="552">
        <v>1</v>
      </c>
      <c r="AF41" s="552">
        <v>1</v>
      </c>
      <c r="AG41" s="542" t="s">
        <v>561</v>
      </c>
      <c r="AH41" s="552">
        <v>0</v>
      </c>
      <c r="AI41" s="552">
        <v>0</v>
      </c>
      <c r="AJ41" s="552">
        <v>1</v>
      </c>
      <c r="AK41" s="552">
        <v>1</v>
      </c>
      <c r="AL41" s="552">
        <v>1</v>
      </c>
      <c r="AM41" s="552">
        <v>0</v>
      </c>
      <c r="AN41" s="552">
        <v>0</v>
      </c>
      <c r="AO41" s="552">
        <v>1</v>
      </c>
      <c r="AP41" s="552">
        <v>1</v>
      </c>
      <c r="AQ41" s="552">
        <v>1</v>
      </c>
      <c r="AR41" s="552">
        <v>1</v>
      </c>
      <c r="AS41" s="552">
        <v>1</v>
      </c>
      <c r="AT41" s="552">
        <v>1</v>
      </c>
      <c r="AU41" s="552"/>
      <c r="AV41" s="553" t="str">
        <f>IF(H41="YES","'"&amp;INDEX('Structure Groups'!$C$12:$C$14,MATCH('Load Criteria'!$B$5,'Structure Groups'!$B$12:$B$14,0),1)&amp;"'","'All'")</f>
        <v>'GL Max 800m'</v>
      </c>
      <c r="AW41" s="552" t="s">
        <v>562</v>
      </c>
      <c r="AX41" s="552"/>
      <c r="AY41" s="552" t="str">
        <f t="shared" ref="AY41:AY72" si="10">IF(L41="","No","Yes")</f>
        <v>Yes</v>
      </c>
      <c r="AZ41" s="554" t="str">
        <f t="shared" ref="AZ41:AZ72" si="11">IF(AY41="No","",IF(L41="A","Ahead Spans","Back Spans"))</f>
        <v>Back Spans</v>
      </c>
      <c r="BA41" s="554" t="str">
        <f t="shared" si="4"/>
        <v>% Wire Wind Pressure</v>
      </c>
      <c r="BB41" s="552">
        <f t="shared" si="5"/>
        <v>75</v>
      </c>
      <c r="BC41" s="559" t="s">
        <v>300</v>
      </c>
      <c r="BD41" s="559" t="s">
        <v>300</v>
      </c>
      <c r="BE41" s="559" t="s">
        <v>300</v>
      </c>
      <c r="BF41" s="559" t="s">
        <v>300</v>
      </c>
      <c r="BG41" s="559" t="s">
        <v>300</v>
      </c>
      <c r="BH41" s="559" t="s">
        <v>300</v>
      </c>
      <c r="BI41" s="559" t="s">
        <v>300</v>
      </c>
      <c r="BJ41" s="559" t="s">
        <v>300</v>
      </c>
      <c r="BK41" s="559" t="s">
        <v>300</v>
      </c>
      <c r="BL41" s="559" t="s">
        <v>300</v>
      </c>
      <c r="BM41" s="559" t="s">
        <v>300</v>
      </c>
      <c r="BN41" s="559" t="s">
        <v>300</v>
      </c>
      <c r="BO41" s="559" t="s">
        <v>300</v>
      </c>
      <c r="BP41" s="559" t="s">
        <v>300</v>
      </c>
      <c r="BQ41" s="559" t="s">
        <v>300</v>
      </c>
      <c r="BR41" s="559" t="s">
        <v>300</v>
      </c>
      <c r="BS41" s="559" t="s">
        <v>300</v>
      </c>
      <c r="BT41" s="559" t="s">
        <v>300</v>
      </c>
      <c r="BU41" s="559" t="s">
        <v>300</v>
      </c>
      <c r="BV41" s="559" t="s">
        <v>300</v>
      </c>
      <c r="BW41" s="559" t="s">
        <v>300</v>
      </c>
      <c r="BX41" s="559" t="s">
        <v>300</v>
      </c>
      <c r="BY41" s="559" t="s">
        <v>300</v>
      </c>
      <c r="BZ41" s="559" t="s">
        <v>300</v>
      </c>
      <c r="CA41" s="559" t="s">
        <v>300</v>
      </c>
      <c r="CB41" s="559" t="s">
        <v>300</v>
      </c>
      <c r="CC41" s="559" t="s">
        <v>300</v>
      </c>
      <c r="CD41" s="554"/>
      <c r="CE41" s="554"/>
      <c r="CF41" s="554"/>
      <c r="CG41" s="554"/>
      <c r="CH41" s="554"/>
      <c r="CI41" s="554"/>
      <c r="CJ41" s="554"/>
      <c r="CK41" s="554"/>
      <c r="CL41" s="554"/>
      <c r="CM41" s="554"/>
      <c r="CN41" s="554"/>
      <c r="CO41" s="554"/>
      <c r="CP41" s="554"/>
      <c r="CQ41" s="554"/>
      <c r="CR41" s="554"/>
      <c r="CS41" s="554"/>
      <c r="CT41" s="554"/>
      <c r="CU41" s="554"/>
      <c r="CV41" s="554"/>
      <c r="CW41" s="554"/>
      <c r="CX41" s="554"/>
      <c r="CY41" s="554"/>
      <c r="CZ41" s="554"/>
      <c r="DA41" s="554"/>
      <c r="DB41" s="554"/>
      <c r="DC41" s="554"/>
      <c r="DD41" s="554"/>
      <c r="DE41" s="534"/>
      <c r="DF41" s="534"/>
      <c r="DG41" s="534"/>
    </row>
    <row r="42" spans="1:111" ht="15" hidden="1" x14ac:dyDescent="0.25">
      <c r="A42" s="549" t="str">
        <f>IF(Control!$D$5="N","-",1)</f>
        <v>-</v>
      </c>
      <c r="B42" s="555" t="s">
        <v>558</v>
      </c>
      <c r="C42" s="555" t="s">
        <v>559</v>
      </c>
      <c r="D42" s="555" t="s">
        <v>560</v>
      </c>
      <c r="E42" s="556" t="s">
        <v>22</v>
      </c>
      <c r="F42" s="556" t="s">
        <v>22</v>
      </c>
      <c r="G42" s="556" t="str">
        <f>IFERROR(IF(MID('Load Criteria'!X42,FIND("_",'Load Criteria'!X42,1)+1,1)=LEFT(Control!$D$23,1),"YES","-"),"-")</f>
        <v>YES</v>
      </c>
      <c r="H42" s="549" t="str">
        <f>IF(INDEX('Weather Cases'!$G$10:$G$94,MATCH('Load Criteria'!X42,'Weather Cases'!$H$10:$H$94,0),1)="H","YES","")</f>
        <v>YES</v>
      </c>
      <c r="I42" s="557" t="s">
        <v>299</v>
      </c>
      <c r="J42" s="550">
        <f t="shared" si="9"/>
        <v>300</v>
      </c>
      <c r="K42" s="550" t="s">
        <v>60</v>
      </c>
      <c r="L42" s="550" t="s">
        <v>40</v>
      </c>
      <c r="M42" s="550"/>
      <c r="N42" s="550"/>
      <c r="O42" s="550"/>
      <c r="P42" s="392"/>
      <c r="Q42" s="392"/>
      <c r="R42" s="392"/>
      <c r="S42" s="392"/>
      <c r="T42" s="392"/>
      <c r="U42" s="550" t="s">
        <v>247</v>
      </c>
      <c r="V42" s="551" t="s">
        <v>300</v>
      </c>
      <c r="W42" s="542" t="str">
        <f t="shared" si="6"/>
        <v>MW0300_A8+DB Max</v>
      </c>
      <c r="X42" s="552" t="str">
        <f>I42&amp;TEXT(J42,"0000")&amp;"_"&amp;LEFT(Control!$D$23,1)&amp;LEFT(Control!$D$22,LEN(Control!$D$22)-2)</f>
        <v>MW0300_A8</v>
      </c>
      <c r="Y42" s="552" t="s">
        <v>433</v>
      </c>
      <c r="Z42" s="552" t="str">
        <f t="shared" si="8"/>
        <v>Max</v>
      </c>
      <c r="AA42" s="552"/>
      <c r="AB42" s="552">
        <v>1</v>
      </c>
      <c r="AC42" s="552">
        <v>1</v>
      </c>
      <c r="AD42" s="552">
        <v>1</v>
      </c>
      <c r="AE42" s="552">
        <v>1</v>
      </c>
      <c r="AF42" s="552">
        <v>1</v>
      </c>
      <c r="AG42" s="542" t="s">
        <v>561</v>
      </c>
      <c r="AH42" s="552">
        <v>0</v>
      </c>
      <c r="AI42" s="552">
        <v>0</v>
      </c>
      <c r="AJ42" s="552">
        <v>1</v>
      </c>
      <c r="AK42" s="552">
        <v>1</v>
      </c>
      <c r="AL42" s="552">
        <v>1</v>
      </c>
      <c r="AM42" s="552">
        <v>0</v>
      </c>
      <c r="AN42" s="552">
        <v>0</v>
      </c>
      <c r="AO42" s="552">
        <v>1</v>
      </c>
      <c r="AP42" s="552">
        <v>1</v>
      </c>
      <c r="AQ42" s="552">
        <v>1</v>
      </c>
      <c r="AR42" s="552">
        <v>1</v>
      </c>
      <c r="AS42" s="552">
        <v>1</v>
      </c>
      <c r="AT42" s="552">
        <v>1</v>
      </c>
      <c r="AU42" s="552"/>
      <c r="AV42" s="553" t="str">
        <f>IF(H42="YES","'"&amp;INDEX('Structure Groups'!$C$12:$C$14,MATCH('Load Criteria'!$B$5,'Structure Groups'!$B$12:$B$14,0),1)&amp;"'","'All'")</f>
        <v>'GL Max 800m'</v>
      </c>
      <c r="AW42" s="552" t="s">
        <v>562</v>
      </c>
      <c r="AX42" s="552"/>
      <c r="AY42" s="552" t="str">
        <f t="shared" si="10"/>
        <v>Yes</v>
      </c>
      <c r="AZ42" s="554" t="str">
        <f t="shared" si="11"/>
        <v>Back Spans</v>
      </c>
      <c r="BA42" s="554" t="str">
        <f t="shared" si="4"/>
        <v>% Wire Wind Pressure</v>
      </c>
      <c r="BB42" s="552">
        <f t="shared" si="5"/>
        <v>75</v>
      </c>
      <c r="BC42" s="559" t="s">
        <v>300</v>
      </c>
      <c r="BD42" s="559" t="s">
        <v>300</v>
      </c>
      <c r="BE42" s="559" t="s">
        <v>300</v>
      </c>
      <c r="BF42" s="559" t="s">
        <v>300</v>
      </c>
      <c r="BG42" s="559" t="s">
        <v>300</v>
      </c>
      <c r="BH42" s="559" t="s">
        <v>300</v>
      </c>
      <c r="BI42" s="559" t="s">
        <v>300</v>
      </c>
      <c r="BJ42" s="559" t="s">
        <v>300</v>
      </c>
      <c r="BK42" s="559" t="s">
        <v>300</v>
      </c>
      <c r="BL42" s="559" t="s">
        <v>300</v>
      </c>
      <c r="BM42" s="559" t="s">
        <v>300</v>
      </c>
      <c r="BN42" s="559" t="s">
        <v>300</v>
      </c>
      <c r="BO42" s="559" t="s">
        <v>300</v>
      </c>
      <c r="BP42" s="559" t="s">
        <v>300</v>
      </c>
      <c r="BQ42" s="559" t="s">
        <v>300</v>
      </c>
      <c r="BR42" s="559" t="s">
        <v>300</v>
      </c>
      <c r="BS42" s="559" t="s">
        <v>300</v>
      </c>
      <c r="BT42" s="559" t="s">
        <v>300</v>
      </c>
      <c r="BU42" s="559" t="s">
        <v>300</v>
      </c>
      <c r="BV42" s="559" t="s">
        <v>300</v>
      </c>
      <c r="BW42" s="559" t="s">
        <v>300</v>
      </c>
      <c r="BX42" s="559" t="s">
        <v>300</v>
      </c>
      <c r="BY42" s="559" t="s">
        <v>300</v>
      </c>
      <c r="BZ42" s="559" t="s">
        <v>300</v>
      </c>
      <c r="CA42" s="559" t="s">
        <v>300</v>
      </c>
      <c r="CB42" s="559" t="s">
        <v>300</v>
      </c>
      <c r="CC42" s="559" t="s">
        <v>300</v>
      </c>
      <c r="CD42" s="554"/>
      <c r="CE42" s="554"/>
      <c r="CF42" s="554"/>
      <c r="CG42" s="389"/>
      <c r="CH42" s="389"/>
      <c r="CI42" s="389"/>
      <c r="CJ42" s="389"/>
      <c r="CK42" s="554"/>
      <c r="CL42" s="554"/>
      <c r="CM42" s="554"/>
      <c r="CN42" s="554"/>
      <c r="CO42" s="554"/>
      <c r="CP42" s="554"/>
      <c r="CQ42" s="554"/>
      <c r="CR42" s="554"/>
      <c r="CS42" s="554"/>
      <c r="CT42" s="554"/>
      <c r="CU42" s="554"/>
      <c r="CV42" s="554"/>
      <c r="CW42" s="554"/>
      <c r="CX42" s="554"/>
      <c r="CY42" s="554"/>
      <c r="CZ42" s="554"/>
      <c r="DA42" s="554"/>
      <c r="DB42" s="554"/>
      <c r="DC42" s="554"/>
      <c r="DD42" s="554"/>
      <c r="DE42" s="534"/>
      <c r="DF42" s="534"/>
      <c r="DG42" s="534"/>
    </row>
    <row r="43" spans="1:111" ht="15" hidden="1" x14ac:dyDescent="0.25">
      <c r="A43" s="549" t="str">
        <f>IF(Control!$D$5="N","-",1)</f>
        <v>-</v>
      </c>
      <c r="B43" s="555" t="s">
        <v>558</v>
      </c>
      <c r="C43" s="555" t="s">
        <v>559</v>
      </c>
      <c r="D43" s="555" t="s">
        <v>560</v>
      </c>
      <c r="E43" s="556" t="s">
        <v>22</v>
      </c>
      <c r="F43" s="556" t="s">
        <v>22</v>
      </c>
      <c r="G43" s="556" t="str">
        <f>IFERROR(IF(MID('Load Criteria'!X43,FIND("_",'Load Criteria'!X43,1)+1,1)=LEFT(Control!$D$23,1),"YES","-"),"-")</f>
        <v>YES</v>
      </c>
      <c r="H43" s="549" t="str">
        <f>IF(INDEX('Weather Cases'!$G$10:$G$94,MATCH('Load Criteria'!X43,'Weather Cases'!$H$10:$H$94,0),1)="H","YES","")</f>
        <v>YES</v>
      </c>
      <c r="I43" s="557" t="s">
        <v>299</v>
      </c>
      <c r="J43" s="550">
        <f t="shared" si="9"/>
        <v>250</v>
      </c>
      <c r="K43" s="550" t="s">
        <v>60</v>
      </c>
      <c r="L43" s="550" t="s">
        <v>40</v>
      </c>
      <c r="M43" s="550"/>
      <c r="N43" s="550"/>
      <c r="O43" s="550"/>
      <c r="P43" s="392"/>
      <c r="Q43" s="392"/>
      <c r="R43" s="392"/>
      <c r="S43" s="392"/>
      <c r="T43" s="392"/>
      <c r="U43" s="550" t="s">
        <v>247</v>
      </c>
      <c r="V43" s="551" t="s">
        <v>300</v>
      </c>
      <c r="W43" s="542" t="str">
        <f t="shared" si="6"/>
        <v>MW0250_A8+DB Max</v>
      </c>
      <c r="X43" s="552" t="str">
        <f>I43&amp;TEXT(J43,"0000")&amp;"_"&amp;LEFT(Control!$D$23,1)&amp;LEFT(Control!$D$22,LEN(Control!$D$22)-2)</f>
        <v>MW0250_A8</v>
      </c>
      <c r="Y43" s="552" t="s">
        <v>433</v>
      </c>
      <c r="Z43" s="552" t="str">
        <f>U43</f>
        <v>Max</v>
      </c>
      <c r="AA43" s="552"/>
      <c r="AB43" s="552">
        <v>1</v>
      </c>
      <c r="AC43" s="552">
        <v>1</v>
      </c>
      <c r="AD43" s="552">
        <v>1</v>
      </c>
      <c r="AE43" s="552">
        <v>1</v>
      </c>
      <c r="AF43" s="552">
        <v>1</v>
      </c>
      <c r="AG43" s="542" t="s">
        <v>561</v>
      </c>
      <c r="AH43" s="552">
        <v>0</v>
      </c>
      <c r="AI43" s="552">
        <v>0</v>
      </c>
      <c r="AJ43" s="552">
        <v>1</v>
      </c>
      <c r="AK43" s="552">
        <v>1</v>
      </c>
      <c r="AL43" s="552">
        <v>1</v>
      </c>
      <c r="AM43" s="552">
        <v>0</v>
      </c>
      <c r="AN43" s="552">
        <v>0</v>
      </c>
      <c r="AO43" s="552">
        <v>1</v>
      </c>
      <c r="AP43" s="552">
        <v>1</v>
      </c>
      <c r="AQ43" s="552">
        <v>1</v>
      </c>
      <c r="AR43" s="552">
        <v>1</v>
      </c>
      <c r="AS43" s="552">
        <v>1</v>
      </c>
      <c r="AT43" s="552">
        <v>1</v>
      </c>
      <c r="AU43" s="552"/>
      <c r="AV43" s="553" t="str">
        <f>IF(H43="YES","'"&amp;INDEX('Structure Groups'!$C$12:$C$14,MATCH('Load Criteria'!$B$5,'Structure Groups'!$B$12:$B$14,0),1)&amp;"'","'All'")</f>
        <v>'GL Max 800m'</v>
      </c>
      <c r="AW43" s="552" t="s">
        <v>562</v>
      </c>
      <c r="AX43" s="552"/>
      <c r="AY43" s="552" t="str">
        <f t="shared" si="10"/>
        <v>Yes</v>
      </c>
      <c r="AZ43" s="554" t="str">
        <f t="shared" si="11"/>
        <v>Back Spans</v>
      </c>
      <c r="BA43" s="554" t="str">
        <f t="shared" si="4"/>
        <v>% Wire Wind Pressure</v>
      </c>
      <c r="BB43" s="552">
        <f t="shared" si="5"/>
        <v>75</v>
      </c>
      <c r="BC43" s="559" t="s">
        <v>300</v>
      </c>
      <c r="BD43" s="559" t="s">
        <v>300</v>
      </c>
      <c r="BE43" s="559" t="s">
        <v>300</v>
      </c>
      <c r="BF43" s="559" t="s">
        <v>300</v>
      </c>
      <c r="BG43" s="559" t="s">
        <v>300</v>
      </c>
      <c r="BH43" s="559" t="s">
        <v>300</v>
      </c>
      <c r="BI43" s="559" t="s">
        <v>300</v>
      </c>
      <c r="BJ43" s="559" t="s">
        <v>300</v>
      </c>
      <c r="BK43" s="559" t="s">
        <v>300</v>
      </c>
      <c r="BL43" s="559" t="s">
        <v>300</v>
      </c>
      <c r="BM43" s="559" t="s">
        <v>300</v>
      </c>
      <c r="BN43" s="559" t="s">
        <v>300</v>
      </c>
      <c r="BO43" s="559" t="s">
        <v>300</v>
      </c>
      <c r="BP43" s="559" t="s">
        <v>300</v>
      </c>
      <c r="BQ43" s="559" t="s">
        <v>300</v>
      </c>
      <c r="BR43" s="559" t="s">
        <v>300</v>
      </c>
      <c r="BS43" s="559" t="s">
        <v>300</v>
      </c>
      <c r="BT43" s="559" t="s">
        <v>300</v>
      </c>
      <c r="BU43" s="559" t="s">
        <v>300</v>
      </c>
      <c r="BV43" s="559" t="s">
        <v>300</v>
      </c>
      <c r="BW43" s="559" t="s">
        <v>300</v>
      </c>
      <c r="BX43" s="559" t="s">
        <v>300</v>
      </c>
      <c r="BY43" s="559" t="s">
        <v>300</v>
      </c>
      <c r="BZ43" s="559" t="s">
        <v>300</v>
      </c>
      <c r="CA43" s="559" t="s">
        <v>300</v>
      </c>
      <c r="CB43" s="559" t="s">
        <v>300</v>
      </c>
      <c r="CC43" s="559" t="s">
        <v>300</v>
      </c>
      <c r="CD43" s="554"/>
      <c r="CE43" s="554"/>
      <c r="CF43" s="554"/>
      <c r="CG43" s="389"/>
      <c r="CH43" s="389"/>
      <c r="CI43" s="389"/>
      <c r="CJ43" s="389"/>
      <c r="CK43" s="554"/>
      <c r="CL43" s="554"/>
      <c r="CM43" s="554"/>
      <c r="CN43" s="554"/>
      <c r="CO43" s="554"/>
      <c r="CP43" s="554"/>
      <c r="CQ43" s="554"/>
      <c r="CR43" s="554"/>
      <c r="CS43" s="554"/>
      <c r="CT43" s="554"/>
      <c r="CU43" s="554"/>
      <c r="CV43" s="554"/>
      <c r="CW43" s="554"/>
      <c r="CX43" s="554"/>
      <c r="CY43" s="554"/>
      <c r="CZ43" s="554"/>
      <c r="DA43" s="554"/>
      <c r="DB43" s="554"/>
      <c r="DC43" s="554"/>
      <c r="DD43" s="554"/>
      <c r="DE43" s="534"/>
      <c r="DF43" s="534"/>
      <c r="DG43" s="534"/>
    </row>
    <row r="44" spans="1:111" ht="15" hidden="1" x14ac:dyDescent="0.25">
      <c r="A44" s="549" t="str">
        <f>IF(Control!$D$5="N","-",1)</f>
        <v>-</v>
      </c>
      <c r="B44" s="555" t="s">
        <v>558</v>
      </c>
      <c r="C44" s="555" t="s">
        <v>559</v>
      </c>
      <c r="D44" s="555" t="s">
        <v>560</v>
      </c>
      <c r="E44" s="556" t="s">
        <v>22</v>
      </c>
      <c r="F44" s="556" t="s">
        <v>22</v>
      </c>
      <c r="G44" s="556" t="str">
        <f>IFERROR(IF(MID('Load Criteria'!X44,FIND("_",'Load Criteria'!X44,1)+1,1)=LEFT(Control!$D$23,1),"YES","-"),"-")</f>
        <v>YES</v>
      </c>
      <c r="H44" s="549" t="str">
        <f>IF(INDEX('Weather Cases'!$G$10:$G$94,MATCH('Load Criteria'!X44,'Weather Cases'!$H$10:$H$94,0),1)="H","YES","")</f>
        <v>YES</v>
      </c>
      <c r="I44" s="557" t="s">
        <v>299</v>
      </c>
      <c r="J44" s="550">
        <f t="shared" si="9"/>
        <v>200</v>
      </c>
      <c r="K44" s="550" t="s">
        <v>60</v>
      </c>
      <c r="L44" s="550" t="s">
        <v>40</v>
      </c>
      <c r="M44" s="550"/>
      <c r="N44" s="550"/>
      <c r="O44" s="550"/>
      <c r="P44" s="392"/>
      <c r="Q44" s="392"/>
      <c r="R44" s="392"/>
      <c r="S44" s="392"/>
      <c r="T44" s="392"/>
      <c r="U44" s="550" t="s">
        <v>247</v>
      </c>
      <c r="V44" s="551" t="s">
        <v>300</v>
      </c>
      <c r="W44" s="542" t="str">
        <f t="shared" si="6"/>
        <v>MW0200_A8+DB Max</v>
      </c>
      <c r="X44" s="552" t="str">
        <f>I44&amp;TEXT(J44,"0000")&amp;"_"&amp;LEFT(Control!$D$23,1)&amp;LEFT(Control!$D$22,LEN(Control!$D$22)-2)</f>
        <v>MW0200_A8</v>
      </c>
      <c r="Y44" s="552" t="s">
        <v>433</v>
      </c>
      <c r="Z44" s="552" t="str">
        <f t="shared" si="8"/>
        <v>Max</v>
      </c>
      <c r="AA44" s="552"/>
      <c r="AB44" s="552">
        <v>1</v>
      </c>
      <c r="AC44" s="552">
        <v>1</v>
      </c>
      <c r="AD44" s="552">
        <v>1</v>
      </c>
      <c r="AE44" s="552">
        <v>1</v>
      </c>
      <c r="AF44" s="552">
        <v>1</v>
      </c>
      <c r="AG44" s="542" t="s">
        <v>561</v>
      </c>
      <c r="AH44" s="552">
        <v>0</v>
      </c>
      <c r="AI44" s="552">
        <v>0</v>
      </c>
      <c r="AJ44" s="552">
        <v>1</v>
      </c>
      <c r="AK44" s="552">
        <v>1</v>
      </c>
      <c r="AL44" s="552">
        <v>1</v>
      </c>
      <c r="AM44" s="552">
        <v>0</v>
      </c>
      <c r="AN44" s="552">
        <v>0</v>
      </c>
      <c r="AO44" s="552">
        <v>1</v>
      </c>
      <c r="AP44" s="552">
        <v>1</v>
      </c>
      <c r="AQ44" s="552">
        <v>1</v>
      </c>
      <c r="AR44" s="552">
        <v>1</v>
      </c>
      <c r="AS44" s="552">
        <v>1</v>
      </c>
      <c r="AT44" s="552">
        <v>1</v>
      </c>
      <c r="AU44" s="552"/>
      <c r="AV44" s="553" t="str">
        <f>IF(H44="YES","'"&amp;INDEX('Structure Groups'!$C$12:$C$14,MATCH('Load Criteria'!$B$5,'Structure Groups'!$B$12:$B$14,0),1)&amp;"'","'All'")</f>
        <v>'GL Max 800m'</v>
      </c>
      <c r="AW44" s="552" t="s">
        <v>562</v>
      </c>
      <c r="AX44" s="552"/>
      <c r="AY44" s="552" t="str">
        <f t="shared" si="10"/>
        <v>Yes</v>
      </c>
      <c r="AZ44" s="554" t="str">
        <f t="shared" si="11"/>
        <v>Back Spans</v>
      </c>
      <c r="BA44" s="554" t="str">
        <f t="shared" si="4"/>
        <v>% Wire Wind Pressure</v>
      </c>
      <c r="BB44" s="552">
        <f t="shared" si="5"/>
        <v>75</v>
      </c>
      <c r="BC44" s="559" t="s">
        <v>300</v>
      </c>
      <c r="BD44" s="559" t="s">
        <v>300</v>
      </c>
      <c r="BE44" s="559" t="s">
        <v>300</v>
      </c>
      <c r="BF44" s="559" t="s">
        <v>300</v>
      </c>
      <c r="BG44" s="559" t="s">
        <v>300</v>
      </c>
      <c r="BH44" s="559" t="s">
        <v>300</v>
      </c>
      <c r="BI44" s="559" t="s">
        <v>300</v>
      </c>
      <c r="BJ44" s="559" t="s">
        <v>300</v>
      </c>
      <c r="BK44" s="559" t="s">
        <v>300</v>
      </c>
      <c r="BL44" s="559" t="s">
        <v>300</v>
      </c>
      <c r="BM44" s="559" t="s">
        <v>300</v>
      </c>
      <c r="BN44" s="559" t="s">
        <v>300</v>
      </c>
      <c r="BO44" s="559" t="s">
        <v>300</v>
      </c>
      <c r="BP44" s="559" t="s">
        <v>300</v>
      </c>
      <c r="BQ44" s="559" t="s">
        <v>300</v>
      </c>
      <c r="BR44" s="559" t="s">
        <v>300</v>
      </c>
      <c r="BS44" s="559" t="s">
        <v>300</v>
      </c>
      <c r="BT44" s="559" t="s">
        <v>300</v>
      </c>
      <c r="BU44" s="559" t="s">
        <v>300</v>
      </c>
      <c r="BV44" s="559" t="s">
        <v>300</v>
      </c>
      <c r="BW44" s="559" t="s">
        <v>300</v>
      </c>
      <c r="BX44" s="559" t="s">
        <v>300</v>
      </c>
      <c r="BY44" s="559" t="s">
        <v>300</v>
      </c>
      <c r="BZ44" s="559" t="s">
        <v>300</v>
      </c>
      <c r="CA44" s="559" t="s">
        <v>300</v>
      </c>
      <c r="CB44" s="559" t="s">
        <v>300</v>
      </c>
      <c r="CC44" s="559" t="s">
        <v>300</v>
      </c>
      <c r="CD44" s="554"/>
      <c r="CE44" s="554"/>
      <c r="CF44" s="554"/>
      <c r="CG44" s="389"/>
      <c r="CH44" s="389"/>
      <c r="CI44" s="389"/>
      <c r="CJ44" s="389"/>
      <c r="CK44" s="554"/>
      <c r="CL44" s="554"/>
      <c r="CM44" s="554"/>
      <c r="CN44" s="554"/>
      <c r="CO44" s="554"/>
      <c r="CP44" s="554"/>
      <c r="CQ44" s="554"/>
      <c r="CR44" s="554"/>
      <c r="CS44" s="554"/>
      <c r="CT44" s="554"/>
      <c r="CU44" s="554"/>
      <c r="CV44" s="554"/>
      <c r="CW44" s="554"/>
      <c r="CX44" s="554"/>
      <c r="CY44" s="554"/>
      <c r="CZ44" s="554"/>
      <c r="DA44" s="554"/>
      <c r="DB44" s="554"/>
      <c r="DC44" s="554"/>
      <c r="DD44" s="554"/>
      <c r="DE44" s="534"/>
      <c r="DF44" s="534"/>
      <c r="DG44" s="534"/>
    </row>
    <row r="45" spans="1:111" ht="15" hidden="1" x14ac:dyDescent="0.25">
      <c r="A45" s="549" t="str">
        <f>IF(Control!$D$5="N","-",1)</f>
        <v>-</v>
      </c>
      <c r="B45" s="555" t="s">
        <v>558</v>
      </c>
      <c r="C45" s="555" t="s">
        <v>559</v>
      </c>
      <c r="D45" s="555" t="s">
        <v>560</v>
      </c>
      <c r="E45" s="556" t="s">
        <v>22</v>
      </c>
      <c r="F45" s="556" t="s">
        <v>22</v>
      </c>
      <c r="G45" s="556" t="str">
        <f>IFERROR(IF(MID('Load Criteria'!X45,FIND("_",'Load Criteria'!X45,1)+1,1)=LEFT(Control!$D$23,1),"YES","-"),"-")</f>
        <v>YES</v>
      </c>
      <c r="H45" s="549" t="str">
        <f>IF(INDEX('Weather Cases'!$G$10:$G$94,MATCH('Load Criteria'!X45,'Weather Cases'!$H$10:$H$94,0),1)="H","YES","")</f>
        <v>YES</v>
      </c>
      <c r="I45" s="557" t="s">
        <v>299</v>
      </c>
      <c r="J45" s="550">
        <f t="shared" si="9"/>
        <v>150</v>
      </c>
      <c r="K45" s="550" t="s">
        <v>60</v>
      </c>
      <c r="L45" s="550" t="s">
        <v>40</v>
      </c>
      <c r="M45" s="550"/>
      <c r="N45" s="550"/>
      <c r="O45" s="550"/>
      <c r="P45" s="392"/>
      <c r="Q45" s="392"/>
      <c r="R45" s="392"/>
      <c r="S45" s="392"/>
      <c r="T45" s="392"/>
      <c r="U45" s="550" t="s">
        <v>247</v>
      </c>
      <c r="V45" s="551" t="s">
        <v>300</v>
      </c>
      <c r="W45" s="542" t="str">
        <f t="shared" si="6"/>
        <v>MW0150_A8+DB Max</v>
      </c>
      <c r="X45" s="552" t="str">
        <f>I45&amp;TEXT(J45,"0000")&amp;"_"&amp;LEFT(Control!$D$23,1)&amp;LEFT(Control!$D$22,LEN(Control!$D$22)-2)</f>
        <v>MW0150_A8</v>
      </c>
      <c r="Y45" s="552" t="s">
        <v>433</v>
      </c>
      <c r="Z45" s="552" t="str">
        <f t="shared" si="8"/>
        <v>Max</v>
      </c>
      <c r="AA45" s="552"/>
      <c r="AB45" s="552">
        <v>1</v>
      </c>
      <c r="AC45" s="552">
        <v>1</v>
      </c>
      <c r="AD45" s="552">
        <v>1</v>
      </c>
      <c r="AE45" s="552">
        <v>1</v>
      </c>
      <c r="AF45" s="552">
        <v>1</v>
      </c>
      <c r="AG45" s="542" t="s">
        <v>561</v>
      </c>
      <c r="AH45" s="552">
        <v>0</v>
      </c>
      <c r="AI45" s="552">
        <v>0</v>
      </c>
      <c r="AJ45" s="552">
        <v>1</v>
      </c>
      <c r="AK45" s="552">
        <v>1</v>
      </c>
      <c r="AL45" s="552">
        <v>1</v>
      </c>
      <c r="AM45" s="552">
        <v>0</v>
      </c>
      <c r="AN45" s="552">
        <v>0</v>
      </c>
      <c r="AO45" s="552">
        <v>1</v>
      </c>
      <c r="AP45" s="552">
        <v>1</v>
      </c>
      <c r="AQ45" s="552">
        <v>1</v>
      </c>
      <c r="AR45" s="552">
        <v>1</v>
      </c>
      <c r="AS45" s="552">
        <v>1</v>
      </c>
      <c r="AT45" s="552">
        <v>1</v>
      </c>
      <c r="AU45" s="552"/>
      <c r="AV45" s="553" t="str">
        <f>IF(H45="YES","'"&amp;INDEX('Structure Groups'!$C$12:$C$14,MATCH('Load Criteria'!$B$5,'Structure Groups'!$B$12:$B$14,0),1)&amp;"'","'All'")</f>
        <v>'GL Max 800m'</v>
      </c>
      <c r="AW45" s="552" t="s">
        <v>562</v>
      </c>
      <c r="AX45" s="552"/>
      <c r="AY45" s="552" t="str">
        <f t="shared" si="10"/>
        <v>Yes</v>
      </c>
      <c r="AZ45" s="554" t="str">
        <f t="shared" si="11"/>
        <v>Back Spans</v>
      </c>
      <c r="BA45" s="554" t="str">
        <f t="shared" si="4"/>
        <v>% Wire Wind Pressure</v>
      </c>
      <c r="BB45" s="552">
        <f t="shared" si="5"/>
        <v>75</v>
      </c>
      <c r="BC45" s="559" t="s">
        <v>300</v>
      </c>
      <c r="BD45" s="559" t="s">
        <v>300</v>
      </c>
      <c r="BE45" s="559" t="s">
        <v>300</v>
      </c>
      <c r="BF45" s="559" t="s">
        <v>300</v>
      </c>
      <c r="BG45" s="559" t="s">
        <v>300</v>
      </c>
      <c r="BH45" s="559" t="s">
        <v>300</v>
      </c>
      <c r="BI45" s="559" t="s">
        <v>300</v>
      </c>
      <c r="BJ45" s="559" t="s">
        <v>300</v>
      </c>
      <c r="BK45" s="559" t="s">
        <v>300</v>
      </c>
      <c r="BL45" s="559" t="s">
        <v>300</v>
      </c>
      <c r="BM45" s="559" t="s">
        <v>300</v>
      </c>
      <c r="BN45" s="559" t="s">
        <v>300</v>
      </c>
      <c r="BO45" s="559" t="s">
        <v>300</v>
      </c>
      <c r="BP45" s="559" t="s">
        <v>300</v>
      </c>
      <c r="BQ45" s="559" t="s">
        <v>300</v>
      </c>
      <c r="BR45" s="559" t="s">
        <v>300</v>
      </c>
      <c r="BS45" s="559" t="s">
        <v>300</v>
      </c>
      <c r="BT45" s="559" t="s">
        <v>300</v>
      </c>
      <c r="BU45" s="559" t="s">
        <v>300</v>
      </c>
      <c r="BV45" s="559" t="s">
        <v>300</v>
      </c>
      <c r="BW45" s="559" t="s">
        <v>300</v>
      </c>
      <c r="BX45" s="559" t="s">
        <v>300</v>
      </c>
      <c r="BY45" s="559" t="s">
        <v>300</v>
      </c>
      <c r="BZ45" s="559" t="s">
        <v>300</v>
      </c>
      <c r="CA45" s="559" t="s">
        <v>300</v>
      </c>
      <c r="CB45" s="559" t="s">
        <v>300</v>
      </c>
      <c r="CC45" s="559" t="s">
        <v>300</v>
      </c>
      <c r="CD45" s="554"/>
      <c r="CE45" s="554"/>
      <c r="CF45" s="554"/>
      <c r="CG45" s="389"/>
      <c r="CH45" s="554"/>
      <c r="CI45" s="554"/>
      <c r="CJ45" s="554"/>
      <c r="CK45" s="554"/>
      <c r="CL45" s="554"/>
      <c r="CM45" s="554"/>
      <c r="CN45" s="554"/>
      <c r="CO45" s="554"/>
      <c r="CP45" s="554"/>
      <c r="CQ45" s="554"/>
      <c r="CR45" s="554"/>
      <c r="CS45" s="554"/>
      <c r="CT45" s="554"/>
      <c r="CU45" s="554"/>
      <c r="CV45" s="554"/>
      <c r="CW45" s="554"/>
      <c r="CX45" s="554"/>
      <c r="CY45" s="554"/>
      <c r="CZ45" s="554"/>
      <c r="DA45" s="554"/>
      <c r="DB45" s="554"/>
      <c r="DC45" s="554"/>
      <c r="DD45" s="554"/>
      <c r="DE45" s="534"/>
      <c r="DF45" s="534"/>
      <c r="DG45" s="534"/>
    </row>
    <row r="46" spans="1:111" ht="15" hidden="1" x14ac:dyDescent="0.25">
      <c r="A46" s="549" t="str">
        <f>IF(Control!$D$5="N","-",1)</f>
        <v>-</v>
      </c>
      <c r="B46" s="555" t="s">
        <v>558</v>
      </c>
      <c r="C46" s="555" t="s">
        <v>559</v>
      </c>
      <c r="D46" s="555" t="s">
        <v>560</v>
      </c>
      <c r="E46" s="556" t="s">
        <v>22</v>
      </c>
      <c r="F46" s="556" t="s">
        <v>22</v>
      </c>
      <c r="G46" s="556" t="str">
        <f>IFERROR(IF(MID('Load Criteria'!X46,FIND("_",'Load Criteria'!X46,1)+1,1)=LEFT(Control!$D$23,1),"YES","-"),"-")</f>
        <v>YES</v>
      </c>
      <c r="H46" s="549" t="str">
        <f>IF(INDEX('Weather Cases'!$G$10:$G$94,MATCH('Load Criteria'!X46,'Weather Cases'!$H$10:$H$94,0),1)="H","YES","")</f>
        <v>YES</v>
      </c>
      <c r="I46" s="557" t="s">
        <v>299</v>
      </c>
      <c r="J46" s="550">
        <f t="shared" si="9"/>
        <v>100</v>
      </c>
      <c r="K46" s="550" t="s">
        <v>60</v>
      </c>
      <c r="L46" s="550" t="s">
        <v>40</v>
      </c>
      <c r="M46" s="550"/>
      <c r="N46" s="550"/>
      <c r="O46" s="550"/>
      <c r="P46" s="392"/>
      <c r="Q46" s="392"/>
      <c r="R46" s="392"/>
      <c r="S46" s="392"/>
      <c r="T46" s="392"/>
      <c r="U46" s="550" t="s">
        <v>247</v>
      </c>
      <c r="V46" s="551" t="s">
        <v>300</v>
      </c>
      <c r="W46" s="542" t="str">
        <f t="shared" si="6"/>
        <v>MW0100_A8+DB Max</v>
      </c>
      <c r="X46" s="552" t="str">
        <f>I46&amp;TEXT(J46,"0000")&amp;"_"&amp;LEFT(Control!$D$23,1)&amp;LEFT(Control!$D$22,LEN(Control!$D$22)-2)</f>
        <v>MW0100_A8</v>
      </c>
      <c r="Y46" s="552" t="s">
        <v>433</v>
      </c>
      <c r="Z46" s="552" t="str">
        <f t="shared" si="8"/>
        <v>Max</v>
      </c>
      <c r="AA46" s="552"/>
      <c r="AB46" s="552">
        <v>1</v>
      </c>
      <c r="AC46" s="552">
        <v>1</v>
      </c>
      <c r="AD46" s="552">
        <v>1</v>
      </c>
      <c r="AE46" s="552">
        <v>1</v>
      </c>
      <c r="AF46" s="552">
        <v>1</v>
      </c>
      <c r="AG46" s="542" t="s">
        <v>561</v>
      </c>
      <c r="AH46" s="552">
        <v>0</v>
      </c>
      <c r="AI46" s="552">
        <v>0</v>
      </c>
      <c r="AJ46" s="552">
        <v>1</v>
      </c>
      <c r="AK46" s="552">
        <v>1</v>
      </c>
      <c r="AL46" s="552">
        <v>1</v>
      </c>
      <c r="AM46" s="552">
        <v>0</v>
      </c>
      <c r="AN46" s="552">
        <v>0</v>
      </c>
      <c r="AO46" s="552">
        <v>1</v>
      </c>
      <c r="AP46" s="552">
        <v>1</v>
      </c>
      <c r="AQ46" s="552">
        <v>1</v>
      </c>
      <c r="AR46" s="552">
        <v>1</v>
      </c>
      <c r="AS46" s="552">
        <v>1</v>
      </c>
      <c r="AT46" s="552">
        <v>1</v>
      </c>
      <c r="AU46" s="552"/>
      <c r="AV46" s="553" t="str">
        <f>IF(H46="YES","'"&amp;INDEX('Structure Groups'!$C$12:$C$14,MATCH('Load Criteria'!$B$5,'Structure Groups'!$B$12:$B$14,0),1)&amp;"'","'All'")</f>
        <v>'GL Max 800m'</v>
      </c>
      <c r="AW46" s="552" t="s">
        <v>562</v>
      </c>
      <c r="AX46" s="552"/>
      <c r="AY46" s="552" t="str">
        <f t="shared" si="10"/>
        <v>Yes</v>
      </c>
      <c r="AZ46" s="554" t="str">
        <f t="shared" si="11"/>
        <v>Back Spans</v>
      </c>
      <c r="BA46" s="554" t="str">
        <f t="shared" si="4"/>
        <v>% Wire Wind Pressure</v>
      </c>
      <c r="BB46" s="552">
        <f t="shared" si="5"/>
        <v>75</v>
      </c>
      <c r="BC46" s="559" t="s">
        <v>300</v>
      </c>
      <c r="BD46" s="559" t="s">
        <v>300</v>
      </c>
      <c r="BE46" s="559" t="s">
        <v>300</v>
      </c>
      <c r="BF46" s="559" t="s">
        <v>300</v>
      </c>
      <c r="BG46" s="559" t="s">
        <v>300</v>
      </c>
      <c r="BH46" s="559" t="s">
        <v>300</v>
      </c>
      <c r="BI46" s="559" t="s">
        <v>300</v>
      </c>
      <c r="BJ46" s="559" t="s">
        <v>300</v>
      </c>
      <c r="BK46" s="559" t="s">
        <v>300</v>
      </c>
      <c r="BL46" s="559" t="s">
        <v>300</v>
      </c>
      <c r="BM46" s="559" t="s">
        <v>300</v>
      </c>
      <c r="BN46" s="559" t="s">
        <v>300</v>
      </c>
      <c r="BO46" s="559" t="s">
        <v>300</v>
      </c>
      <c r="BP46" s="559" t="s">
        <v>300</v>
      </c>
      <c r="BQ46" s="559" t="s">
        <v>300</v>
      </c>
      <c r="BR46" s="559" t="s">
        <v>300</v>
      </c>
      <c r="BS46" s="559" t="s">
        <v>300</v>
      </c>
      <c r="BT46" s="559" t="s">
        <v>300</v>
      </c>
      <c r="BU46" s="559" t="s">
        <v>300</v>
      </c>
      <c r="BV46" s="559" t="s">
        <v>300</v>
      </c>
      <c r="BW46" s="559" t="s">
        <v>300</v>
      </c>
      <c r="BX46" s="559" t="s">
        <v>300</v>
      </c>
      <c r="BY46" s="559" t="s">
        <v>300</v>
      </c>
      <c r="BZ46" s="559" t="s">
        <v>300</v>
      </c>
      <c r="CA46" s="559" t="s">
        <v>300</v>
      </c>
      <c r="CB46" s="559" t="s">
        <v>300</v>
      </c>
      <c r="CC46" s="559" t="s">
        <v>300</v>
      </c>
      <c r="CD46" s="554"/>
      <c r="CE46" s="554"/>
      <c r="CF46" s="554"/>
      <c r="CG46" s="389"/>
      <c r="CH46" s="554"/>
      <c r="CI46" s="554"/>
      <c r="CJ46" s="554"/>
      <c r="CK46" s="554"/>
      <c r="CL46" s="554"/>
      <c r="CM46" s="554"/>
      <c r="CN46" s="554"/>
      <c r="CO46" s="554"/>
      <c r="CP46" s="554"/>
      <c r="CQ46" s="554"/>
      <c r="CR46" s="554"/>
      <c r="CS46" s="554"/>
      <c r="CT46" s="554"/>
      <c r="CU46" s="554"/>
      <c r="CV46" s="554"/>
      <c r="CW46" s="554"/>
      <c r="CX46" s="554"/>
      <c r="CY46" s="554"/>
      <c r="CZ46" s="554"/>
      <c r="DA46" s="554"/>
      <c r="DB46" s="554"/>
      <c r="DC46" s="554"/>
      <c r="DD46" s="554"/>
      <c r="DE46" s="534"/>
      <c r="DF46" s="534"/>
      <c r="DG46" s="534"/>
    </row>
    <row r="47" spans="1:111" ht="15" hidden="1" x14ac:dyDescent="0.25">
      <c r="A47" s="549" t="str">
        <f>IF(Control!$D$5="N","-",1)</f>
        <v>-</v>
      </c>
      <c r="B47" s="555" t="s">
        <v>558</v>
      </c>
      <c r="C47" s="555" t="s">
        <v>559</v>
      </c>
      <c r="D47" s="555" t="s">
        <v>560</v>
      </c>
      <c r="E47" s="556" t="s">
        <v>22</v>
      </c>
      <c r="F47" s="556" t="s">
        <v>22</v>
      </c>
      <c r="G47" s="556" t="str">
        <f>IFERROR(IF(MID('Load Criteria'!X47,FIND("_",'Load Criteria'!X47,1)+1,1)=LEFT(Control!$D$23,1),"YES","-"),"-")</f>
        <v>YES</v>
      </c>
      <c r="H47" s="549" t="str">
        <f>IF(INDEX('Weather Cases'!$G$10:$G$94,MATCH('Load Criteria'!X47,'Weather Cases'!$H$10:$H$94,0),1)="H","YES","")</f>
        <v>YES</v>
      </c>
      <c r="I47" s="557" t="s">
        <v>299</v>
      </c>
      <c r="J47" s="550">
        <f t="shared" si="9"/>
        <v>75</v>
      </c>
      <c r="K47" s="550" t="s">
        <v>60</v>
      </c>
      <c r="L47" s="550" t="s">
        <v>40</v>
      </c>
      <c r="M47" s="550"/>
      <c r="N47" s="550"/>
      <c r="O47" s="550"/>
      <c r="P47" s="392"/>
      <c r="Q47" s="392"/>
      <c r="R47" s="392"/>
      <c r="S47" s="392"/>
      <c r="T47" s="392"/>
      <c r="U47" s="550" t="s">
        <v>247</v>
      </c>
      <c r="V47" s="551" t="s">
        <v>300</v>
      </c>
      <c r="W47" s="542" t="str">
        <f t="shared" si="6"/>
        <v>MW0075_A8+DB Max</v>
      </c>
      <c r="X47" s="552" t="str">
        <f>I47&amp;TEXT(J47,"0000")&amp;"_"&amp;LEFT(Control!$D$23,1)&amp;LEFT(Control!$D$22,LEN(Control!$D$22)-2)</f>
        <v>MW0075_A8</v>
      </c>
      <c r="Y47" s="552" t="s">
        <v>433</v>
      </c>
      <c r="Z47" s="552" t="str">
        <f t="shared" si="8"/>
        <v>Max</v>
      </c>
      <c r="AA47" s="552"/>
      <c r="AB47" s="552">
        <v>1</v>
      </c>
      <c r="AC47" s="552">
        <v>1</v>
      </c>
      <c r="AD47" s="552">
        <v>1</v>
      </c>
      <c r="AE47" s="552">
        <v>1</v>
      </c>
      <c r="AF47" s="552">
        <v>1</v>
      </c>
      <c r="AG47" s="542" t="s">
        <v>561</v>
      </c>
      <c r="AH47" s="552">
        <v>0</v>
      </c>
      <c r="AI47" s="552">
        <v>0</v>
      </c>
      <c r="AJ47" s="552">
        <v>1</v>
      </c>
      <c r="AK47" s="552">
        <v>1</v>
      </c>
      <c r="AL47" s="552">
        <v>1</v>
      </c>
      <c r="AM47" s="552">
        <v>0</v>
      </c>
      <c r="AN47" s="552">
        <v>0</v>
      </c>
      <c r="AO47" s="552">
        <v>1</v>
      </c>
      <c r="AP47" s="552">
        <v>1</v>
      </c>
      <c r="AQ47" s="552">
        <v>1</v>
      </c>
      <c r="AR47" s="552">
        <v>1</v>
      </c>
      <c r="AS47" s="552">
        <v>1</v>
      </c>
      <c r="AT47" s="552">
        <v>1</v>
      </c>
      <c r="AU47" s="552"/>
      <c r="AV47" s="553" t="str">
        <f>IF(H47="YES","'"&amp;INDEX('Structure Groups'!$C$12:$C$14,MATCH('Load Criteria'!$B$5,'Structure Groups'!$B$12:$B$14,0),1)&amp;"'","'All'")</f>
        <v>'GL Max 800m'</v>
      </c>
      <c r="AW47" s="552" t="s">
        <v>562</v>
      </c>
      <c r="AX47" s="552"/>
      <c r="AY47" s="552" t="str">
        <f t="shared" si="10"/>
        <v>Yes</v>
      </c>
      <c r="AZ47" s="554" t="str">
        <f t="shared" si="11"/>
        <v>Back Spans</v>
      </c>
      <c r="BA47" s="554" t="str">
        <f t="shared" si="4"/>
        <v>% Wire Wind Pressure</v>
      </c>
      <c r="BB47" s="552">
        <f t="shared" si="5"/>
        <v>75</v>
      </c>
      <c r="BC47" s="559" t="s">
        <v>300</v>
      </c>
      <c r="BD47" s="559" t="s">
        <v>300</v>
      </c>
      <c r="BE47" s="559" t="s">
        <v>300</v>
      </c>
      <c r="BF47" s="559" t="s">
        <v>300</v>
      </c>
      <c r="BG47" s="559" t="s">
        <v>300</v>
      </c>
      <c r="BH47" s="559" t="s">
        <v>300</v>
      </c>
      <c r="BI47" s="559" t="s">
        <v>300</v>
      </c>
      <c r="BJ47" s="559" t="s">
        <v>300</v>
      </c>
      <c r="BK47" s="559" t="s">
        <v>300</v>
      </c>
      <c r="BL47" s="559" t="s">
        <v>300</v>
      </c>
      <c r="BM47" s="559" t="s">
        <v>300</v>
      </c>
      <c r="BN47" s="559" t="s">
        <v>300</v>
      </c>
      <c r="BO47" s="559" t="s">
        <v>300</v>
      </c>
      <c r="BP47" s="559" t="s">
        <v>300</v>
      </c>
      <c r="BQ47" s="559" t="s">
        <v>300</v>
      </c>
      <c r="BR47" s="559" t="s">
        <v>300</v>
      </c>
      <c r="BS47" s="559" t="s">
        <v>300</v>
      </c>
      <c r="BT47" s="559" t="s">
        <v>300</v>
      </c>
      <c r="BU47" s="559" t="s">
        <v>300</v>
      </c>
      <c r="BV47" s="559" t="s">
        <v>300</v>
      </c>
      <c r="BW47" s="559" t="s">
        <v>300</v>
      </c>
      <c r="BX47" s="559" t="s">
        <v>300</v>
      </c>
      <c r="BY47" s="559" t="s">
        <v>300</v>
      </c>
      <c r="BZ47" s="559" t="s">
        <v>300</v>
      </c>
      <c r="CA47" s="559" t="s">
        <v>300</v>
      </c>
      <c r="CB47" s="559" t="s">
        <v>300</v>
      </c>
      <c r="CC47" s="559" t="s">
        <v>300</v>
      </c>
      <c r="CD47" s="554"/>
      <c r="CE47" s="554"/>
      <c r="CF47" s="554"/>
      <c r="CG47" s="390"/>
      <c r="CH47" s="554"/>
      <c r="CI47" s="554"/>
      <c r="CJ47" s="554"/>
      <c r="CK47" s="554"/>
      <c r="CL47" s="554"/>
      <c r="CM47" s="554"/>
      <c r="CN47" s="554"/>
      <c r="CO47" s="554"/>
      <c r="CP47" s="554"/>
      <c r="CQ47" s="554"/>
      <c r="CR47" s="554"/>
      <c r="CS47" s="554"/>
      <c r="CT47" s="554"/>
      <c r="CU47" s="554"/>
      <c r="CV47" s="554"/>
      <c r="CW47" s="554"/>
      <c r="CX47" s="554"/>
      <c r="CY47" s="554"/>
      <c r="CZ47" s="554"/>
      <c r="DA47" s="554"/>
      <c r="DB47" s="554"/>
      <c r="DC47" s="554"/>
      <c r="DD47" s="554"/>
      <c r="DE47" s="534"/>
      <c r="DF47" s="534"/>
      <c r="DG47" s="534"/>
    </row>
    <row r="48" spans="1:111" ht="15" hidden="1" x14ac:dyDescent="0.25">
      <c r="A48" s="549" t="str">
        <f>IF(Control!$D$5="N","-",1)</f>
        <v>-</v>
      </c>
      <c r="B48" s="555" t="s">
        <v>558</v>
      </c>
      <c r="C48" s="555" t="s">
        <v>559</v>
      </c>
      <c r="D48" s="555" t="s">
        <v>560</v>
      </c>
      <c r="E48" s="556" t="s">
        <v>22</v>
      </c>
      <c r="F48" s="556" t="s">
        <v>22</v>
      </c>
      <c r="G48" s="556" t="str">
        <f>IFERROR(IF(MID('Load Criteria'!X48,FIND("_",'Load Criteria'!X48,1)+1,1)=LEFT(Control!$D$23,1),"YES","-"),"-")</f>
        <v>YES</v>
      </c>
      <c r="H48" s="549" t="str">
        <f>IF(INDEX('Weather Cases'!$G$10:$G$94,MATCH('Load Criteria'!X48,'Weather Cases'!$H$10:$H$94,0),1)="H","YES","")</f>
        <v>YES</v>
      </c>
      <c r="I48" s="557" t="s">
        <v>299</v>
      </c>
      <c r="J48" s="550">
        <f t="shared" si="9"/>
        <v>50</v>
      </c>
      <c r="K48" s="550" t="s">
        <v>60</v>
      </c>
      <c r="L48" s="550" t="s">
        <v>40</v>
      </c>
      <c r="M48" s="550"/>
      <c r="N48" s="550"/>
      <c r="O48" s="550"/>
      <c r="P48" s="392"/>
      <c r="Q48" s="392"/>
      <c r="R48" s="392"/>
      <c r="S48" s="392"/>
      <c r="T48" s="392"/>
      <c r="U48" s="550" t="s">
        <v>247</v>
      </c>
      <c r="V48" s="551" t="s">
        <v>300</v>
      </c>
      <c r="W48" s="542" t="str">
        <f t="shared" si="6"/>
        <v>MW0050_A8+DB Max</v>
      </c>
      <c r="X48" s="552" t="str">
        <f>I48&amp;TEXT(J48,"0000")&amp;"_"&amp;LEFT(Control!$D$23,1)&amp;LEFT(Control!$D$22,LEN(Control!$D$22)-2)</f>
        <v>MW0050_A8</v>
      </c>
      <c r="Y48" s="552" t="s">
        <v>433</v>
      </c>
      <c r="Z48" s="552" t="str">
        <f t="shared" si="8"/>
        <v>Max</v>
      </c>
      <c r="AA48" s="552"/>
      <c r="AB48" s="552">
        <v>1</v>
      </c>
      <c r="AC48" s="552">
        <v>1</v>
      </c>
      <c r="AD48" s="552">
        <v>1</v>
      </c>
      <c r="AE48" s="552">
        <v>1</v>
      </c>
      <c r="AF48" s="552">
        <v>1</v>
      </c>
      <c r="AG48" s="542" t="s">
        <v>561</v>
      </c>
      <c r="AH48" s="552">
        <v>0</v>
      </c>
      <c r="AI48" s="552">
        <v>0</v>
      </c>
      <c r="AJ48" s="552">
        <v>1</v>
      </c>
      <c r="AK48" s="552">
        <v>1</v>
      </c>
      <c r="AL48" s="552">
        <v>1</v>
      </c>
      <c r="AM48" s="552">
        <v>0</v>
      </c>
      <c r="AN48" s="552">
        <v>0</v>
      </c>
      <c r="AO48" s="552">
        <v>1</v>
      </c>
      <c r="AP48" s="552">
        <v>1</v>
      </c>
      <c r="AQ48" s="552">
        <v>1</v>
      </c>
      <c r="AR48" s="552">
        <v>1</v>
      </c>
      <c r="AS48" s="552">
        <v>1</v>
      </c>
      <c r="AT48" s="552">
        <v>1</v>
      </c>
      <c r="AU48" s="552"/>
      <c r="AV48" s="553" t="str">
        <f>IF(H48="YES","'"&amp;INDEX('Structure Groups'!$C$12:$C$14,MATCH('Load Criteria'!$B$5,'Structure Groups'!$B$12:$B$14,0),1)&amp;"'","'All'")</f>
        <v>'GL Max 800m'</v>
      </c>
      <c r="AW48" s="552" t="s">
        <v>562</v>
      </c>
      <c r="AX48" s="552"/>
      <c r="AY48" s="552" t="str">
        <f t="shared" si="10"/>
        <v>Yes</v>
      </c>
      <c r="AZ48" s="554" t="str">
        <f t="shared" si="11"/>
        <v>Back Spans</v>
      </c>
      <c r="BA48" s="554" t="str">
        <f t="shared" si="4"/>
        <v>% Wire Wind Pressure</v>
      </c>
      <c r="BB48" s="552">
        <f t="shared" si="5"/>
        <v>75</v>
      </c>
      <c r="BC48" s="559" t="s">
        <v>300</v>
      </c>
      <c r="BD48" s="559" t="s">
        <v>300</v>
      </c>
      <c r="BE48" s="559" t="s">
        <v>300</v>
      </c>
      <c r="BF48" s="559" t="s">
        <v>300</v>
      </c>
      <c r="BG48" s="559" t="s">
        <v>300</v>
      </c>
      <c r="BH48" s="559" t="s">
        <v>300</v>
      </c>
      <c r="BI48" s="559" t="s">
        <v>300</v>
      </c>
      <c r="BJ48" s="559" t="s">
        <v>300</v>
      </c>
      <c r="BK48" s="559" t="s">
        <v>300</v>
      </c>
      <c r="BL48" s="559" t="s">
        <v>300</v>
      </c>
      <c r="BM48" s="559" t="s">
        <v>300</v>
      </c>
      <c r="BN48" s="559" t="s">
        <v>300</v>
      </c>
      <c r="BO48" s="559" t="s">
        <v>300</v>
      </c>
      <c r="BP48" s="559" t="s">
        <v>300</v>
      </c>
      <c r="BQ48" s="559" t="s">
        <v>300</v>
      </c>
      <c r="BR48" s="559" t="s">
        <v>300</v>
      </c>
      <c r="BS48" s="559" t="s">
        <v>300</v>
      </c>
      <c r="BT48" s="559" t="s">
        <v>300</v>
      </c>
      <c r="BU48" s="559" t="s">
        <v>300</v>
      </c>
      <c r="BV48" s="559" t="s">
        <v>300</v>
      </c>
      <c r="BW48" s="559" t="s">
        <v>300</v>
      </c>
      <c r="BX48" s="559" t="s">
        <v>300</v>
      </c>
      <c r="BY48" s="559" t="s">
        <v>300</v>
      </c>
      <c r="BZ48" s="559" t="s">
        <v>300</v>
      </c>
      <c r="CA48" s="559" t="s">
        <v>300</v>
      </c>
      <c r="CB48" s="559" t="s">
        <v>300</v>
      </c>
      <c r="CC48" s="559" t="s">
        <v>300</v>
      </c>
      <c r="CD48" s="554"/>
      <c r="CE48" s="554"/>
      <c r="CF48" s="554"/>
      <c r="CG48" s="554"/>
      <c r="CH48" s="554"/>
      <c r="CI48" s="554"/>
      <c r="CJ48" s="554"/>
      <c r="CK48" s="554"/>
      <c r="CL48" s="554"/>
      <c r="CM48" s="554"/>
      <c r="CN48" s="554"/>
      <c r="CO48" s="554"/>
      <c r="CP48" s="554"/>
      <c r="CQ48" s="554"/>
      <c r="CR48" s="554"/>
      <c r="CS48" s="554"/>
      <c r="CT48" s="554"/>
      <c r="CU48" s="554"/>
      <c r="CV48" s="554"/>
      <c r="CW48" s="554"/>
      <c r="CX48" s="554"/>
      <c r="CY48" s="554"/>
      <c r="CZ48" s="554"/>
      <c r="DA48" s="554"/>
      <c r="DB48" s="554"/>
      <c r="DC48" s="554"/>
      <c r="DD48" s="554"/>
      <c r="DE48" s="534"/>
      <c r="DF48" s="534"/>
      <c r="DG48" s="534"/>
    </row>
    <row r="49" spans="1:111" ht="15" hidden="1" x14ac:dyDescent="0.25">
      <c r="A49" s="549" t="str">
        <f>IF(Control!$D$5="N","-",1)</f>
        <v>-</v>
      </c>
      <c r="B49" s="555" t="s">
        <v>558</v>
      </c>
      <c r="C49" s="555" t="s">
        <v>559</v>
      </c>
      <c r="D49" s="555" t="s">
        <v>560</v>
      </c>
      <c r="E49" s="556" t="s">
        <v>22</v>
      </c>
      <c r="F49" s="556" t="s">
        <v>22</v>
      </c>
      <c r="G49" s="556" t="str">
        <f>IFERROR(IF(MID('Load Criteria'!X49,FIND("_",'Load Criteria'!X49,1)+1,1)=LEFT(Control!$D$23,1),"YES","-"),"-")</f>
        <v>YES</v>
      </c>
      <c r="H49" s="549" t="str">
        <f>IF(INDEX('Weather Cases'!$G$10:$G$94,MATCH('Load Criteria'!X49,'Weather Cases'!$H$10:$H$94,0),1)="H","YES","")</f>
        <v>YES</v>
      </c>
      <c r="I49" s="557" t="s">
        <v>299</v>
      </c>
      <c r="J49" s="550">
        <f t="shared" si="9"/>
        <v>25</v>
      </c>
      <c r="K49" s="550" t="s">
        <v>60</v>
      </c>
      <c r="L49" s="550" t="s">
        <v>40</v>
      </c>
      <c r="M49" s="550"/>
      <c r="N49" s="550"/>
      <c r="O49" s="550"/>
      <c r="P49" s="392"/>
      <c r="Q49" s="392"/>
      <c r="R49" s="392"/>
      <c r="S49" s="392"/>
      <c r="T49" s="392"/>
      <c r="U49" s="550" t="s">
        <v>247</v>
      </c>
      <c r="V49" s="551" t="s">
        <v>300</v>
      </c>
      <c r="W49" s="542" t="str">
        <f t="shared" si="6"/>
        <v>MW0025_A8+DB Max</v>
      </c>
      <c r="X49" s="552" t="str">
        <f>I49&amp;TEXT(J49,"0000")&amp;"_"&amp;LEFT(Control!$D$23,1)&amp;LEFT(Control!$D$22,LEN(Control!$D$22)-2)</f>
        <v>MW0025_A8</v>
      </c>
      <c r="Y49" s="552" t="s">
        <v>433</v>
      </c>
      <c r="Z49" s="552" t="str">
        <f t="shared" si="8"/>
        <v>Max</v>
      </c>
      <c r="AA49" s="552"/>
      <c r="AB49" s="552">
        <v>1</v>
      </c>
      <c r="AC49" s="552">
        <v>1</v>
      </c>
      <c r="AD49" s="552">
        <v>1</v>
      </c>
      <c r="AE49" s="552">
        <v>1</v>
      </c>
      <c r="AF49" s="552">
        <v>1</v>
      </c>
      <c r="AG49" s="542" t="s">
        <v>561</v>
      </c>
      <c r="AH49" s="552">
        <v>0</v>
      </c>
      <c r="AI49" s="552">
        <v>0</v>
      </c>
      <c r="AJ49" s="552">
        <v>1</v>
      </c>
      <c r="AK49" s="552">
        <v>1</v>
      </c>
      <c r="AL49" s="552">
        <v>1</v>
      </c>
      <c r="AM49" s="552">
        <v>0</v>
      </c>
      <c r="AN49" s="552">
        <v>0</v>
      </c>
      <c r="AO49" s="552">
        <v>1</v>
      </c>
      <c r="AP49" s="552">
        <v>1</v>
      </c>
      <c r="AQ49" s="552">
        <v>1</v>
      </c>
      <c r="AR49" s="552">
        <v>1</v>
      </c>
      <c r="AS49" s="552">
        <v>1</v>
      </c>
      <c r="AT49" s="552">
        <v>1</v>
      </c>
      <c r="AU49" s="552"/>
      <c r="AV49" s="553" t="str">
        <f>IF(H49="YES","'"&amp;INDEX('Structure Groups'!$C$12:$C$14,MATCH('Load Criteria'!$B$5,'Structure Groups'!$B$12:$B$14,0),1)&amp;"'","'All'")</f>
        <v>'GL Max 800m'</v>
      </c>
      <c r="AW49" s="552" t="s">
        <v>562</v>
      </c>
      <c r="AX49" s="552"/>
      <c r="AY49" s="552" t="str">
        <f t="shared" si="10"/>
        <v>Yes</v>
      </c>
      <c r="AZ49" s="554" t="str">
        <f t="shared" si="11"/>
        <v>Back Spans</v>
      </c>
      <c r="BA49" s="554" t="str">
        <f t="shared" si="4"/>
        <v>% Wire Wind Pressure</v>
      </c>
      <c r="BB49" s="552">
        <f t="shared" si="5"/>
        <v>75</v>
      </c>
      <c r="BC49" s="559" t="s">
        <v>300</v>
      </c>
      <c r="BD49" s="559" t="s">
        <v>300</v>
      </c>
      <c r="BE49" s="559" t="s">
        <v>300</v>
      </c>
      <c r="BF49" s="559" t="s">
        <v>300</v>
      </c>
      <c r="BG49" s="559" t="s">
        <v>300</v>
      </c>
      <c r="BH49" s="559" t="s">
        <v>300</v>
      </c>
      <c r="BI49" s="559" t="s">
        <v>300</v>
      </c>
      <c r="BJ49" s="559" t="s">
        <v>300</v>
      </c>
      <c r="BK49" s="559" t="s">
        <v>300</v>
      </c>
      <c r="BL49" s="559" t="s">
        <v>300</v>
      </c>
      <c r="BM49" s="559" t="s">
        <v>300</v>
      </c>
      <c r="BN49" s="559" t="s">
        <v>300</v>
      </c>
      <c r="BO49" s="559" t="s">
        <v>300</v>
      </c>
      <c r="BP49" s="559" t="s">
        <v>300</v>
      </c>
      <c r="BQ49" s="559" t="s">
        <v>300</v>
      </c>
      <c r="BR49" s="559" t="s">
        <v>300</v>
      </c>
      <c r="BS49" s="559" t="s">
        <v>300</v>
      </c>
      <c r="BT49" s="559" t="s">
        <v>300</v>
      </c>
      <c r="BU49" s="559" t="s">
        <v>300</v>
      </c>
      <c r="BV49" s="559" t="s">
        <v>300</v>
      </c>
      <c r="BW49" s="559" t="s">
        <v>300</v>
      </c>
      <c r="BX49" s="559" t="s">
        <v>300</v>
      </c>
      <c r="BY49" s="559" t="s">
        <v>300</v>
      </c>
      <c r="BZ49" s="559" t="s">
        <v>300</v>
      </c>
      <c r="CA49" s="559" t="s">
        <v>300</v>
      </c>
      <c r="CB49" s="559" t="s">
        <v>300</v>
      </c>
      <c r="CC49" s="559" t="s">
        <v>300</v>
      </c>
      <c r="CD49" s="554"/>
      <c r="CE49" s="554"/>
      <c r="CF49" s="554"/>
      <c r="CG49" s="554"/>
      <c r="CH49" s="554"/>
      <c r="CI49" s="554"/>
      <c r="CJ49" s="554"/>
      <c r="CK49" s="554"/>
      <c r="CL49" s="554"/>
      <c r="CM49" s="554"/>
      <c r="CN49" s="554"/>
      <c r="CO49" s="554"/>
      <c r="CP49" s="554"/>
      <c r="CQ49" s="554"/>
      <c r="CR49" s="554"/>
      <c r="CS49" s="554"/>
      <c r="CT49" s="554"/>
      <c r="CU49" s="554"/>
      <c r="CV49" s="554"/>
      <c r="CW49" s="554"/>
      <c r="CX49" s="554"/>
      <c r="CY49" s="554"/>
      <c r="CZ49" s="554"/>
      <c r="DA49" s="554"/>
      <c r="DB49" s="554"/>
      <c r="DC49" s="554"/>
      <c r="DD49" s="554"/>
      <c r="DE49" s="534"/>
      <c r="DF49" s="534"/>
      <c r="DG49" s="534"/>
    </row>
    <row r="50" spans="1:111" ht="15" hidden="1" x14ac:dyDescent="0.25">
      <c r="A50" s="549" t="str">
        <f>IF(Control!$D$5="N","-",1)</f>
        <v>-</v>
      </c>
      <c r="B50" s="555" t="s">
        <v>558</v>
      </c>
      <c r="C50" s="555" t="s">
        <v>559</v>
      </c>
      <c r="D50" s="555" t="s">
        <v>560</v>
      </c>
      <c r="E50" s="556" t="s">
        <v>22</v>
      </c>
      <c r="F50" s="556" t="s">
        <v>22</v>
      </c>
      <c r="G50" s="556" t="str">
        <f>IFERROR(IF(MID('Load Criteria'!X50,FIND("_",'Load Criteria'!X50,1)+1,1)=LEFT(Control!$D$23,1),"YES","-"),"-")</f>
        <v>YES</v>
      </c>
      <c r="H50" s="549" t="str">
        <f>IF(INDEX('Weather Cases'!$G$10:$G$94,MATCH('Load Criteria'!X50,'Weather Cases'!$H$10:$H$94,0),1)="H","YES","")</f>
        <v>YES</v>
      </c>
      <c r="I50" s="557" t="s">
        <v>299</v>
      </c>
      <c r="J50" s="550">
        <f t="shared" si="9"/>
        <v>15</v>
      </c>
      <c r="K50" s="550" t="s">
        <v>60</v>
      </c>
      <c r="L50" s="550" t="s">
        <v>40</v>
      </c>
      <c r="M50" s="550"/>
      <c r="N50" s="550"/>
      <c r="O50" s="550"/>
      <c r="P50" s="392"/>
      <c r="Q50" s="392"/>
      <c r="R50" s="392"/>
      <c r="S50" s="392"/>
      <c r="T50" s="392"/>
      <c r="U50" s="550" t="s">
        <v>247</v>
      </c>
      <c r="V50" s="551" t="s">
        <v>300</v>
      </c>
      <c r="W50" s="542" t="str">
        <f t="shared" si="6"/>
        <v>MW0015_A8+DB Max</v>
      </c>
      <c r="X50" s="552" t="str">
        <f>I50&amp;TEXT(J50,"0000")&amp;"_"&amp;LEFT(Control!$D$23,1)&amp;LEFT(Control!$D$22,LEN(Control!$D$22)-2)</f>
        <v>MW0015_A8</v>
      </c>
      <c r="Y50" s="552" t="s">
        <v>433</v>
      </c>
      <c r="Z50" s="552" t="str">
        <f t="shared" si="8"/>
        <v>Max</v>
      </c>
      <c r="AA50" s="552"/>
      <c r="AB50" s="552">
        <v>1</v>
      </c>
      <c r="AC50" s="552">
        <v>1</v>
      </c>
      <c r="AD50" s="552">
        <v>1</v>
      </c>
      <c r="AE50" s="552">
        <v>1</v>
      </c>
      <c r="AF50" s="552">
        <v>1</v>
      </c>
      <c r="AG50" s="542" t="s">
        <v>561</v>
      </c>
      <c r="AH50" s="552">
        <v>0</v>
      </c>
      <c r="AI50" s="552">
        <v>0</v>
      </c>
      <c r="AJ50" s="552">
        <v>1</v>
      </c>
      <c r="AK50" s="552">
        <v>1</v>
      </c>
      <c r="AL50" s="552">
        <v>1</v>
      </c>
      <c r="AM50" s="552">
        <v>0</v>
      </c>
      <c r="AN50" s="552">
        <v>0</v>
      </c>
      <c r="AO50" s="552">
        <v>1</v>
      </c>
      <c r="AP50" s="552">
        <v>1</v>
      </c>
      <c r="AQ50" s="552">
        <v>1</v>
      </c>
      <c r="AR50" s="552">
        <v>1</v>
      </c>
      <c r="AS50" s="552">
        <v>1</v>
      </c>
      <c r="AT50" s="552">
        <v>1</v>
      </c>
      <c r="AU50" s="552"/>
      <c r="AV50" s="553" t="str">
        <f>IF(H50="YES","'"&amp;INDEX('Structure Groups'!$C$12:$C$14,MATCH('Load Criteria'!$B$5,'Structure Groups'!$B$12:$B$14,0),1)&amp;"'","'All'")</f>
        <v>'GL Max 800m'</v>
      </c>
      <c r="AW50" s="552" t="s">
        <v>562</v>
      </c>
      <c r="AX50" s="552"/>
      <c r="AY50" s="552" t="str">
        <f t="shared" si="10"/>
        <v>Yes</v>
      </c>
      <c r="AZ50" s="554" t="str">
        <f t="shared" si="11"/>
        <v>Back Spans</v>
      </c>
      <c r="BA50" s="554" t="str">
        <f t="shared" si="4"/>
        <v>% Wire Wind Pressure</v>
      </c>
      <c r="BB50" s="552">
        <f t="shared" si="5"/>
        <v>75</v>
      </c>
      <c r="BC50" s="559" t="s">
        <v>300</v>
      </c>
      <c r="BD50" s="559" t="s">
        <v>300</v>
      </c>
      <c r="BE50" s="559" t="s">
        <v>300</v>
      </c>
      <c r="BF50" s="559" t="s">
        <v>300</v>
      </c>
      <c r="BG50" s="559" t="s">
        <v>300</v>
      </c>
      <c r="BH50" s="559" t="s">
        <v>300</v>
      </c>
      <c r="BI50" s="559" t="s">
        <v>300</v>
      </c>
      <c r="BJ50" s="559" t="s">
        <v>300</v>
      </c>
      <c r="BK50" s="559" t="s">
        <v>300</v>
      </c>
      <c r="BL50" s="559" t="s">
        <v>300</v>
      </c>
      <c r="BM50" s="559" t="s">
        <v>300</v>
      </c>
      <c r="BN50" s="559" t="s">
        <v>300</v>
      </c>
      <c r="BO50" s="559" t="s">
        <v>300</v>
      </c>
      <c r="BP50" s="559" t="s">
        <v>300</v>
      </c>
      <c r="BQ50" s="559" t="s">
        <v>300</v>
      </c>
      <c r="BR50" s="559" t="s">
        <v>300</v>
      </c>
      <c r="BS50" s="559" t="s">
        <v>300</v>
      </c>
      <c r="BT50" s="559" t="s">
        <v>300</v>
      </c>
      <c r="BU50" s="559" t="s">
        <v>300</v>
      </c>
      <c r="BV50" s="559" t="s">
        <v>300</v>
      </c>
      <c r="BW50" s="559" t="s">
        <v>300</v>
      </c>
      <c r="BX50" s="559" t="s">
        <v>300</v>
      </c>
      <c r="BY50" s="559" t="s">
        <v>300</v>
      </c>
      <c r="BZ50" s="559" t="s">
        <v>300</v>
      </c>
      <c r="CA50" s="559" t="s">
        <v>300</v>
      </c>
      <c r="CB50" s="559" t="s">
        <v>300</v>
      </c>
      <c r="CC50" s="559" t="s">
        <v>300</v>
      </c>
      <c r="CD50" s="554"/>
      <c r="CE50" s="554"/>
      <c r="CF50" s="554"/>
      <c r="CG50" s="554"/>
      <c r="CH50" s="554"/>
      <c r="CI50" s="554"/>
      <c r="CJ50" s="554"/>
      <c r="CK50" s="554"/>
      <c r="CL50" s="554"/>
      <c r="CM50" s="554"/>
      <c r="CN50" s="554"/>
      <c r="CO50" s="554"/>
      <c r="CP50" s="554"/>
      <c r="CQ50" s="554"/>
      <c r="CR50" s="554"/>
      <c r="CS50" s="554"/>
      <c r="CT50" s="554"/>
      <c r="CU50" s="554"/>
      <c r="CV50" s="554"/>
      <c r="CW50" s="554"/>
      <c r="CX50" s="554"/>
      <c r="CY50" s="554"/>
      <c r="CZ50" s="554"/>
      <c r="DA50" s="554"/>
      <c r="DB50" s="554"/>
      <c r="DC50" s="554"/>
      <c r="DD50" s="554"/>
      <c r="DE50" s="534"/>
      <c r="DF50" s="534"/>
      <c r="DG50" s="534"/>
    </row>
    <row r="51" spans="1:111" ht="15" hidden="1" x14ac:dyDescent="0.25">
      <c r="A51" s="549" t="str">
        <f>IF(Control!$D$5="N","-",1)</f>
        <v>-</v>
      </c>
      <c r="B51" s="555" t="s">
        <v>558</v>
      </c>
      <c r="C51" s="555" t="s">
        <v>559</v>
      </c>
      <c r="D51" s="555" t="s">
        <v>560</v>
      </c>
      <c r="E51" s="556" t="s">
        <v>22</v>
      </c>
      <c r="F51" s="556" t="s">
        <v>22</v>
      </c>
      <c r="G51" s="556" t="str">
        <f>IFERROR(IF(MID('Load Criteria'!X51,FIND("_",'Load Criteria'!X51,1)+1,1)=LEFT(Control!$D$23,1),"YES","-"),"-")</f>
        <v>YES</v>
      </c>
      <c r="H51" s="549" t="str">
        <f>IF(INDEX('Weather Cases'!$G$10:$G$94,MATCH('Load Criteria'!X51,'Weather Cases'!$H$10:$H$94,0),1)="H","YES","")</f>
        <v>YES</v>
      </c>
      <c r="I51" s="557" t="s">
        <v>299</v>
      </c>
      <c r="J51" s="550">
        <f t="shared" si="9"/>
        <v>10</v>
      </c>
      <c r="K51" s="550" t="s">
        <v>60</v>
      </c>
      <c r="L51" s="550" t="s">
        <v>40</v>
      </c>
      <c r="M51" s="550"/>
      <c r="N51" s="550"/>
      <c r="O51" s="550"/>
      <c r="P51" s="392"/>
      <c r="Q51" s="392"/>
      <c r="R51" s="392"/>
      <c r="S51" s="392"/>
      <c r="T51" s="392"/>
      <c r="U51" s="550" t="s">
        <v>247</v>
      </c>
      <c r="V51" s="551" t="s">
        <v>300</v>
      </c>
      <c r="W51" s="542" t="str">
        <f t="shared" si="6"/>
        <v>MW0010_A8+DB Max</v>
      </c>
      <c r="X51" s="552" t="str">
        <f>I51&amp;TEXT(J51,"0000")&amp;"_"&amp;LEFT(Control!$D$23,1)&amp;LEFT(Control!$D$22,LEN(Control!$D$22)-2)</f>
        <v>MW0010_A8</v>
      </c>
      <c r="Y51" s="552" t="s">
        <v>433</v>
      </c>
      <c r="Z51" s="552" t="str">
        <f t="shared" si="8"/>
        <v>Max</v>
      </c>
      <c r="AA51" s="552"/>
      <c r="AB51" s="552">
        <v>1</v>
      </c>
      <c r="AC51" s="552">
        <v>1</v>
      </c>
      <c r="AD51" s="552">
        <v>1</v>
      </c>
      <c r="AE51" s="552">
        <v>1</v>
      </c>
      <c r="AF51" s="552">
        <v>1</v>
      </c>
      <c r="AG51" s="542" t="s">
        <v>561</v>
      </c>
      <c r="AH51" s="552">
        <v>0</v>
      </c>
      <c r="AI51" s="552">
        <v>0</v>
      </c>
      <c r="AJ51" s="552">
        <v>1</v>
      </c>
      <c r="AK51" s="552">
        <v>1</v>
      </c>
      <c r="AL51" s="552">
        <v>1</v>
      </c>
      <c r="AM51" s="552">
        <v>0</v>
      </c>
      <c r="AN51" s="552">
        <v>0</v>
      </c>
      <c r="AO51" s="552">
        <v>1</v>
      </c>
      <c r="AP51" s="552">
        <v>1</v>
      </c>
      <c r="AQ51" s="552">
        <v>1</v>
      </c>
      <c r="AR51" s="552">
        <v>1</v>
      </c>
      <c r="AS51" s="552">
        <v>1</v>
      </c>
      <c r="AT51" s="552">
        <v>1</v>
      </c>
      <c r="AU51" s="552"/>
      <c r="AV51" s="553" t="str">
        <f>IF(H51="YES","'"&amp;INDEX('Structure Groups'!$C$12:$C$14,MATCH('Load Criteria'!$B$5,'Structure Groups'!$B$12:$B$14,0),1)&amp;"'","'All'")</f>
        <v>'GL Max 800m'</v>
      </c>
      <c r="AW51" s="552" t="s">
        <v>562</v>
      </c>
      <c r="AX51" s="552"/>
      <c r="AY51" s="552" t="str">
        <f t="shared" si="10"/>
        <v>Yes</v>
      </c>
      <c r="AZ51" s="554" t="str">
        <f t="shared" si="11"/>
        <v>Back Spans</v>
      </c>
      <c r="BA51" s="554" t="str">
        <f t="shared" si="4"/>
        <v>% Wire Wind Pressure</v>
      </c>
      <c r="BB51" s="552">
        <f t="shared" si="5"/>
        <v>75</v>
      </c>
      <c r="BC51" s="559" t="s">
        <v>300</v>
      </c>
      <c r="BD51" s="559" t="s">
        <v>300</v>
      </c>
      <c r="BE51" s="559" t="s">
        <v>300</v>
      </c>
      <c r="BF51" s="559" t="s">
        <v>300</v>
      </c>
      <c r="BG51" s="559" t="s">
        <v>300</v>
      </c>
      <c r="BH51" s="559" t="s">
        <v>300</v>
      </c>
      <c r="BI51" s="559" t="s">
        <v>300</v>
      </c>
      <c r="BJ51" s="559" t="s">
        <v>300</v>
      </c>
      <c r="BK51" s="559" t="s">
        <v>300</v>
      </c>
      <c r="BL51" s="559" t="s">
        <v>300</v>
      </c>
      <c r="BM51" s="559" t="s">
        <v>300</v>
      </c>
      <c r="BN51" s="559" t="s">
        <v>300</v>
      </c>
      <c r="BO51" s="559" t="s">
        <v>300</v>
      </c>
      <c r="BP51" s="559" t="s">
        <v>300</v>
      </c>
      <c r="BQ51" s="559" t="s">
        <v>300</v>
      </c>
      <c r="BR51" s="559" t="s">
        <v>300</v>
      </c>
      <c r="BS51" s="559" t="s">
        <v>300</v>
      </c>
      <c r="BT51" s="559" t="s">
        <v>300</v>
      </c>
      <c r="BU51" s="559" t="s">
        <v>300</v>
      </c>
      <c r="BV51" s="559" t="s">
        <v>300</v>
      </c>
      <c r="BW51" s="559" t="s">
        <v>300</v>
      </c>
      <c r="BX51" s="559" t="s">
        <v>300</v>
      </c>
      <c r="BY51" s="559" t="s">
        <v>300</v>
      </c>
      <c r="BZ51" s="559" t="s">
        <v>300</v>
      </c>
      <c r="CA51" s="559" t="s">
        <v>300</v>
      </c>
      <c r="CB51" s="559" t="s">
        <v>300</v>
      </c>
      <c r="CC51" s="559" t="s">
        <v>300</v>
      </c>
      <c r="CD51" s="554"/>
      <c r="CE51" s="554"/>
      <c r="CF51" s="554"/>
      <c r="CG51" s="554"/>
      <c r="CH51" s="554"/>
      <c r="CI51" s="554"/>
      <c r="CJ51" s="554"/>
      <c r="CK51" s="554"/>
      <c r="CL51" s="554"/>
      <c r="CM51" s="554"/>
      <c r="CN51" s="554"/>
      <c r="CO51" s="554"/>
      <c r="CP51" s="554"/>
      <c r="CQ51" s="554"/>
      <c r="CR51" s="554"/>
      <c r="CS51" s="554"/>
      <c r="CT51" s="554"/>
      <c r="CU51" s="554"/>
      <c r="CV51" s="554"/>
      <c r="CW51" s="554"/>
      <c r="CX51" s="554"/>
      <c r="CY51" s="554"/>
      <c r="CZ51" s="554"/>
      <c r="DA51" s="554"/>
      <c r="DB51" s="554"/>
      <c r="DC51" s="554"/>
      <c r="DD51" s="554"/>
      <c r="DE51" s="534"/>
      <c r="DF51" s="534"/>
      <c r="DG51" s="534"/>
    </row>
    <row r="52" spans="1:111" ht="15" hidden="1" x14ac:dyDescent="0.25">
      <c r="A52" s="549" t="str">
        <f>IF(Control!$D$5="N","-",1)</f>
        <v>-</v>
      </c>
      <c r="B52" s="555" t="s">
        <v>558</v>
      </c>
      <c r="C52" s="555" t="s">
        <v>559</v>
      </c>
      <c r="D52" s="555" t="s">
        <v>560</v>
      </c>
      <c r="E52" s="556" t="s">
        <v>22</v>
      </c>
      <c r="F52" s="556" t="s">
        <v>22</v>
      </c>
      <c r="G52" s="556" t="str">
        <f>IFERROR(IF(MID('Load Criteria'!X52,FIND("_",'Load Criteria'!X52,1)+1,1)=LEFT(Control!$D$23,1),"YES","-"),"-")</f>
        <v>YES</v>
      </c>
      <c r="H52" s="549" t="str">
        <f>IF(INDEX('Weather Cases'!$G$10:$G$94,MATCH('Load Criteria'!X52,'Weather Cases'!$H$10:$H$94,0),1)="H","YES","")</f>
        <v>YES</v>
      </c>
      <c r="I52" s="557" t="s">
        <v>299</v>
      </c>
      <c r="J52" s="550">
        <f t="shared" si="9"/>
        <v>4</v>
      </c>
      <c r="K52" s="550" t="s">
        <v>60</v>
      </c>
      <c r="L52" s="550" t="s">
        <v>40</v>
      </c>
      <c r="M52" s="550"/>
      <c r="N52" s="550"/>
      <c r="O52" s="550"/>
      <c r="P52" s="392"/>
      <c r="Q52" s="392"/>
      <c r="R52" s="392"/>
      <c r="S52" s="392"/>
      <c r="T52" s="392"/>
      <c r="U52" s="550" t="s">
        <v>247</v>
      </c>
      <c r="V52" s="551" t="s">
        <v>300</v>
      </c>
      <c r="W52" s="542" t="str">
        <f t="shared" si="6"/>
        <v>MW0004_A8+DB Max</v>
      </c>
      <c r="X52" s="552" t="str">
        <f>I52&amp;TEXT(J52,"0000")&amp;"_"&amp;LEFT(Control!$D$23,1)&amp;LEFT(Control!$D$22,LEN(Control!$D$22)-2)</f>
        <v>MW0004_A8</v>
      </c>
      <c r="Y52" s="552" t="s">
        <v>433</v>
      </c>
      <c r="Z52" s="552" t="str">
        <f t="shared" si="8"/>
        <v>Max</v>
      </c>
      <c r="AA52" s="552"/>
      <c r="AB52" s="552">
        <v>1</v>
      </c>
      <c r="AC52" s="552">
        <v>1</v>
      </c>
      <c r="AD52" s="552">
        <v>1</v>
      </c>
      <c r="AE52" s="552">
        <v>1</v>
      </c>
      <c r="AF52" s="552">
        <v>1</v>
      </c>
      <c r="AG52" s="542" t="s">
        <v>561</v>
      </c>
      <c r="AH52" s="552">
        <v>0</v>
      </c>
      <c r="AI52" s="552">
        <v>0</v>
      </c>
      <c r="AJ52" s="552">
        <v>1</v>
      </c>
      <c r="AK52" s="552">
        <v>1</v>
      </c>
      <c r="AL52" s="552">
        <v>1</v>
      </c>
      <c r="AM52" s="552">
        <v>0</v>
      </c>
      <c r="AN52" s="552">
        <v>0</v>
      </c>
      <c r="AO52" s="552">
        <v>1</v>
      </c>
      <c r="AP52" s="552">
        <v>1</v>
      </c>
      <c r="AQ52" s="552">
        <v>1</v>
      </c>
      <c r="AR52" s="552">
        <v>1</v>
      </c>
      <c r="AS52" s="552">
        <v>1</v>
      </c>
      <c r="AT52" s="552">
        <v>1</v>
      </c>
      <c r="AU52" s="552"/>
      <c r="AV52" s="553" t="str">
        <f>IF(H52="YES","'"&amp;INDEX('Structure Groups'!$C$12:$C$14,MATCH('Load Criteria'!$B$5,'Structure Groups'!$B$12:$B$14,0),1)&amp;"'","'All'")</f>
        <v>'GL Max 800m'</v>
      </c>
      <c r="AW52" s="552" t="s">
        <v>562</v>
      </c>
      <c r="AX52" s="552"/>
      <c r="AY52" s="552" t="str">
        <f t="shared" si="10"/>
        <v>Yes</v>
      </c>
      <c r="AZ52" s="554" t="str">
        <f t="shared" si="11"/>
        <v>Back Spans</v>
      </c>
      <c r="BA52" s="554" t="str">
        <f t="shared" si="4"/>
        <v>% Wire Wind Pressure</v>
      </c>
      <c r="BB52" s="552">
        <f t="shared" si="5"/>
        <v>75</v>
      </c>
      <c r="BC52" s="559" t="s">
        <v>300</v>
      </c>
      <c r="BD52" s="559" t="s">
        <v>300</v>
      </c>
      <c r="BE52" s="559" t="s">
        <v>300</v>
      </c>
      <c r="BF52" s="559" t="s">
        <v>300</v>
      </c>
      <c r="BG52" s="559" t="s">
        <v>300</v>
      </c>
      <c r="BH52" s="559" t="s">
        <v>300</v>
      </c>
      <c r="BI52" s="559" t="s">
        <v>300</v>
      </c>
      <c r="BJ52" s="559" t="s">
        <v>300</v>
      </c>
      <c r="BK52" s="559" t="s">
        <v>300</v>
      </c>
      <c r="BL52" s="559" t="s">
        <v>300</v>
      </c>
      <c r="BM52" s="559" t="s">
        <v>300</v>
      </c>
      <c r="BN52" s="559" t="s">
        <v>300</v>
      </c>
      <c r="BO52" s="559" t="s">
        <v>300</v>
      </c>
      <c r="BP52" s="559" t="s">
        <v>300</v>
      </c>
      <c r="BQ52" s="559" t="s">
        <v>300</v>
      </c>
      <c r="BR52" s="559" t="s">
        <v>300</v>
      </c>
      <c r="BS52" s="559" t="s">
        <v>300</v>
      </c>
      <c r="BT52" s="559" t="s">
        <v>300</v>
      </c>
      <c r="BU52" s="559" t="s">
        <v>300</v>
      </c>
      <c r="BV52" s="559" t="s">
        <v>300</v>
      </c>
      <c r="BW52" s="559" t="s">
        <v>300</v>
      </c>
      <c r="BX52" s="559" t="s">
        <v>300</v>
      </c>
      <c r="BY52" s="559" t="s">
        <v>300</v>
      </c>
      <c r="BZ52" s="559" t="s">
        <v>300</v>
      </c>
      <c r="CA52" s="559" t="s">
        <v>300</v>
      </c>
      <c r="CB52" s="559" t="s">
        <v>300</v>
      </c>
      <c r="CC52" s="559" t="s">
        <v>300</v>
      </c>
      <c r="CD52" s="554"/>
      <c r="CE52" s="554"/>
      <c r="CF52" s="554"/>
      <c r="CG52" s="554"/>
      <c r="CH52" s="554"/>
      <c r="CI52" s="554"/>
      <c r="CJ52" s="554"/>
      <c r="CK52" s="554"/>
      <c r="CL52" s="554"/>
      <c r="CM52" s="554"/>
      <c r="CN52" s="554"/>
      <c r="CO52" s="554"/>
      <c r="CP52" s="554"/>
      <c r="CQ52" s="554"/>
      <c r="CR52" s="554"/>
      <c r="CS52" s="554"/>
      <c r="CT52" s="554"/>
      <c r="CU52" s="554"/>
      <c r="CV52" s="554"/>
      <c r="CW52" s="554"/>
      <c r="CX52" s="554"/>
      <c r="CY52" s="554"/>
      <c r="CZ52" s="554"/>
      <c r="DA52" s="554"/>
      <c r="DB52" s="554"/>
      <c r="DC52" s="554"/>
      <c r="DD52" s="554"/>
      <c r="DE52" s="534"/>
      <c r="DF52" s="534"/>
      <c r="DG52" s="534"/>
    </row>
    <row r="53" spans="1:111" ht="15" hidden="1" x14ac:dyDescent="0.25">
      <c r="A53" s="549" t="str">
        <f>IF(Control!$D$5="N","-",1)</f>
        <v>-</v>
      </c>
      <c r="B53" s="555" t="s">
        <v>558</v>
      </c>
      <c r="C53" s="555" t="s">
        <v>559</v>
      </c>
      <c r="D53" s="555" t="s">
        <v>560</v>
      </c>
      <c r="E53" s="556" t="s">
        <v>22</v>
      </c>
      <c r="F53" s="556" t="s">
        <v>22</v>
      </c>
      <c r="G53" s="556" t="str">
        <f>IFERROR(IF(MID('Load Criteria'!X53,FIND("_",'Load Criteria'!X53,1)+1,1)=LEFT(Control!$D$23,1),"YES","-"),"-")</f>
        <v>YES</v>
      </c>
      <c r="H53" s="549" t="str">
        <f>IF(INDEX('Weather Cases'!$G$10:$G$94,MATCH('Load Criteria'!X53,'Weather Cases'!$H$10:$H$94,0),1)="H","YES","")</f>
        <v>YES</v>
      </c>
      <c r="I53" s="557" t="s">
        <v>299</v>
      </c>
      <c r="J53" s="550">
        <f t="shared" si="9"/>
        <v>2</v>
      </c>
      <c r="K53" s="550" t="s">
        <v>60</v>
      </c>
      <c r="L53" s="550" t="s">
        <v>40</v>
      </c>
      <c r="M53" s="550"/>
      <c r="N53" s="550"/>
      <c r="O53" s="550"/>
      <c r="P53" s="392"/>
      <c r="Q53" s="392"/>
      <c r="R53" s="392"/>
      <c r="S53" s="392"/>
      <c r="T53" s="392"/>
      <c r="U53" s="550" t="s">
        <v>247</v>
      </c>
      <c r="V53" s="551" t="s">
        <v>300</v>
      </c>
      <c r="W53" s="542" t="str">
        <f t="shared" si="6"/>
        <v>MW0002_A8+DB Max</v>
      </c>
      <c r="X53" s="552" t="str">
        <f>I53&amp;TEXT(J53,"0000")&amp;"_"&amp;LEFT(Control!$D$23,1)&amp;LEFT(Control!$D$22,LEN(Control!$D$22)-2)</f>
        <v>MW0002_A8</v>
      </c>
      <c r="Y53" s="552" t="s">
        <v>433</v>
      </c>
      <c r="Z53" s="552" t="str">
        <f t="shared" si="8"/>
        <v>Max</v>
      </c>
      <c r="AA53" s="552"/>
      <c r="AB53" s="552">
        <v>1</v>
      </c>
      <c r="AC53" s="552">
        <v>1</v>
      </c>
      <c r="AD53" s="552">
        <v>1</v>
      </c>
      <c r="AE53" s="552">
        <v>1</v>
      </c>
      <c r="AF53" s="552">
        <v>1</v>
      </c>
      <c r="AG53" s="542" t="s">
        <v>561</v>
      </c>
      <c r="AH53" s="552">
        <v>0</v>
      </c>
      <c r="AI53" s="552">
        <v>0</v>
      </c>
      <c r="AJ53" s="552">
        <v>1</v>
      </c>
      <c r="AK53" s="552">
        <v>1</v>
      </c>
      <c r="AL53" s="552">
        <v>1</v>
      </c>
      <c r="AM53" s="552">
        <v>0</v>
      </c>
      <c r="AN53" s="552">
        <v>0</v>
      </c>
      <c r="AO53" s="552">
        <v>1</v>
      </c>
      <c r="AP53" s="552">
        <v>1</v>
      </c>
      <c r="AQ53" s="552">
        <v>1</v>
      </c>
      <c r="AR53" s="552">
        <v>1</v>
      </c>
      <c r="AS53" s="552">
        <v>1</v>
      </c>
      <c r="AT53" s="552">
        <v>1</v>
      </c>
      <c r="AU53" s="552"/>
      <c r="AV53" s="553" t="str">
        <f>IF(H53="YES","'"&amp;INDEX('Structure Groups'!$C$12:$C$14,MATCH('Load Criteria'!$B$5,'Structure Groups'!$B$12:$B$14,0),1)&amp;"'","'All'")</f>
        <v>'GL Max 800m'</v>
      </c>
      <c r="AW53" s="552" t="s">
        <v>562</v>
      </c>
      <c r="AX53" s="552"/>
      <c r="AY53" s="552" t="str">
        <f t="shared" si="10"/>
        <v>Yes</v>
      </c>
      <c r="AZ53" s="554" t="str">
        <f t="shared" si="11"/>
        <v>Back Spans</v>
      </c>
      <c r="BA53" s="554" t="str">
        <f t="shared" si="4"/>
        <v>% Wire Wind Pressure</v>
      </c>
      <c r="BB53" s="552">
        <f t="shared" si="5"/>
        <v>75</v>
      </c>
      <c r="BC53" s="559" t="s">
        <v>300</v>
      </c>
      <c r="BD53" s="559" t="s">
        <v>300</v>
      </c>
      <c r="BE53" s="559" t="s">
        <v>300</v>
      </c>
      <c r="BF53" s="559" t="s">
        <v>300</v>
      </c>
      <c r="BG53" s="559" t="s">
        <v>300</v>
      </c>
      <c r="BH53" s="559" t="s">
        <v>300</v>
      </c>
      <c r="BI53" s="559" t="s">
        <v>300</v>
      </c>
      <c r="BJ53" s="559" t="s">
        <v>300</v>
      </c>
      <c r="BK53" s="559" t="s">
        <v>300</v>
      </c>
      <c r="BL53" s="559" t="s">
        <v>300</v>
      </c>
      <c r="BM53" s="559" t="s">
        <v>300</v>
      </c>
      <c r="BN53" s="559" t="s">
        <v>300</v>
      </c>
      <c r="BO53" s="559" t="s">
        <v>300</v>
      </c>
      <c r="BP53" s="559" t="s">
        <v>300</v>
      </c>
      <c r="BQ53" s="559" t="s">
        <v>300</v>
      </c>
      <c r="BR53" s="559" t="s">
        <v>300</v>
      </c>
      <c r="BS53" s="559" t="s">
        <v>300</v>
      </c>
      <c r="BT53" s="559" t="s">
        <v>300</v>
      </c>
      <c r="BU53" s="559" t="s">
        <v>300</v>
      </c>
      <c r="BV53" s="559" t="s">
        <v>300</v>
      </c>
      <c r="BW53" s="559" t="s">
        <v>300</v>
      </c>
      <c r="BX53" s="559" t="s">
        <v>300</v>
      </c>
      <c r="BY53" s="559" t="s">
        <v>300</v>
      </c>
      <c r="BZ53" s="559" t="s">
        <v>300</v>
      </c>
      <c r="CA53" s="559" t="s">
        <v>300</v>
      </c>
      <c r="CB53" s="559" t="s">
        <v>300</v>
      </c>
      <c r="CC53" s="559" t="s">
        <v>300</v>
      </c>
      <c r="CD53" s="554"/>
      <c r="CE53" s="554"/>
      <c r="CF53" s="554"/>
      <c r="CG53" s="554"/>
      <c r="CH53" s="554"/>
      <c r="CI53" s="554"/>
      <c r="CJ53" s="554"/>
      <c r="CK53" s="554"/>
      <c r="CL53" s="554"/>
      <c r="CM53" s="554"/>
      <c r="CN53" s="554"/>
      <c r="CO53" s="554"/>
      <c r="CP53" s="554"/>
      <c r="CQ53" s="554"/>
      <c r="CR53" s="554"/>
      <c r="CS53" s="554"/>
      <c r="CT53" s="554"/>
      <c r="CU53" s="554"/>
      <c r="CV53" s="554"/>
      <c r="CW53" s="554"/>
      <c r="CX53" s="554"/>
      <c r="CY53" s="554"/>
      <c r="CZ53" s="554"/>
      <c r="DA53" s="554"/>
      <c r="DB53" s="554"/>
      <c r="DC53" s="554"/>
      <c r="DD53" s="554"/>
      <c r="DE53" s="534"/>
      <c r="DF53" s="534"/>
      <c r="DG53" s="534"/>
    </row>
    <row r="54" spans="1:111" ht="15" hidden="1" x14ac:dyDescent="0.25">
      <c r="A54" s="549" t="str">
        <f>IF(Control!$D$5="N","-",1)</f>
        <v>-</v>
      </c>
      <c r="B54" s="555" t="s">
        <v>558</v>
      </c>
      <c r="C54" s="555" t="s">
        <v>559</v>
      </c>
      <c r="D54" s="555" t="s">
        <v>560</v>
      </c>
      <c r="E54" s="556" t="s">
        <v>22</v>
      </c>
      <c r="F54" s="556" t="s">
        <v>22</v>
      </c>
      <c r="G54" s="556" t="str">
        <f>IFERROR(IF(MID('Load Criteria'!X54,FIND("_",'Load Criteria'!X54,1)+1,1)=LEFT(Control!$D$23,1),"YES","-"),"-")</f>
        <v>YES</v>
      </c>
      <c r="H54" s="549" t="str">
        <f>IF(INDEX('Weather Cases'!$G$10:$G$94,MATCH('Load Criteria'!X54,'Weather Cases'!$H$10:$H$94,0),1)="H","YES","")</f>
        <v>YES</v>
      </c>
      <c r="I54" s="557" t="s">
        <v>309</v>
      </c>
      <c r="J54" s="550">
        <f>J39</f>
        <v>1000</v>
      </c>
      <c r="K54" s="550" t="s">
        <v>88</v>
      </c>
      <c r="L54" s="253" t="s">
        <v>300</v>
      </c>
      <c r="M54" s="253"/>
      <c r="N54" s="253"/>
      <c r="O54" s="253"/>
      <c r="P54" s="394"/>
      <c r="Q54" s="394"/>
      <c r="R54" s="394"/>
      <c r="S54" s="394"/>
      <c r="T54" s="394"/>
      <c r="U54" s="550" t="s">
        <v>247</v>
      </c>
      <c r="V54" s="551" t="s">
        <v>300</v>
      </c>
      <c r="W54" s="542" t="str">
        <f t="shared" si="6"/>
        <v>MT1000_A8+E Max</v>
      </c>
      <c r="X54" s="552" t="str">
        <f>I54&amp;TEXT(J54,"0000")&amp;"_"&amp;LEFT(Control!$D$23,1)&amp;LEFT(Control!$D$22,LEN(Control!$D$22)-2)</f>
        <v>MT1000_A8</v>
      </c>
      <c r="Y54" s="552" t="s">
        <v>433</v>
      </c>
      <c r="Z54" s="552" t="str">
        <f t="shared" si="8"/>
        <v>Max</v>
      </c>
      <c r="AA54" s="552" t="str">
        <f t="shared" ref="AA54:AA69" si="12">V54</f>
        <v/>
      </c>
      <c r="AB54" s="552">
        <v>1</v>
      </c>
      <c r="AC54" s="552">
        <v>1</v>
      </c>
      <c r="AD54" s="552">
        <v>1</v>
      </c>
      <c r="AE54" s="552">
        <v>1</v>
      </c>
      <c r="AF54" s="552">
        <v>1</v>
      </c>
      <c r="AG54" s="542" t="s">
        <v>561</v>
      </c>
      <c r="AH54" s="552">
        <v>0</v>
      </c>
      <c r="AI54" s="552">
        <v>0</v>
      </c>
      <c r="AJ54" s="552">
        <v>1</v>
      </c>
      <c r="AK54" s="552">
        <v>1</v>
      </c>
      <c r="AL54" s="552">
        <v>1</v>
      </c>
      <c r="AM54" s="552">
        <v>0</v>
      </c>
      <c r="AN54" s="552">
        <v>0</v>
      </c>
      <c r="AO54" s="552">
        <v>1</v>
      </c>
      <c r="AP54" s="552">
        <v>1</v>
      </c>
      <c r="AQ54" s="552">
        <v>1</v>
      </c>
      <c r="AR54" s="552">
        <v>1</v>
      </c>
      <c r="AS54" s="552">
        <v>1</v>
      </c>
      <c r="AT54" s="552">
        <v>1</v>
      </c>
      <c r="AU54" s="552"/>
      <c r="AV54" s="553" t="str">
        <f>IF(H54="YES","'"&amp;INDEX('Structure Groups'!$C$12:$C$14,MATCH('Load Criteria'!$B$5,'Structure Groups'!$B$12:$B$14,0),1)&amp;"'","'All'")</f>
        <v>'GL Max 800m'</v>
      </c>
      <c r="AW54" s="552" t="s">
        <v>562</v>
      </c>
      <c r="AX54" s="552"/>
      <c r="AY54" s="552" t="str">
        <f t="shared" si="10"/>
        <v>No</v>
      </c>
      <c r="AZ54" s="554" t="str">
        <f t="shared" si="11"/>
        <v/>
      </c>
      <c r="BA54" s="554" t="str">
        <f t="shared" si="4"/>
        <v/>
      </c>
      <c r="BB54" s="552" t="str">
        <f t="shared" si="5"/>
        <v/>
      </c>
      <c r="BC54" s="559" t="s">
        <v>300</v>
      </c>
      <c r="BD54" s="559" t="s">
        <v>300</v>
      </c>
      <c r="BE54" s="559" t="s">
        <v>300</v>
      </c>
      <c r="BF54" s="559" t="s">
        <v>300</v>
      </c>
      <c r="BG54" s="559" t="s">
        <v>300</v>
      </c>
      <c r="BH54" s="559" t="s">
        <v>300</v>
      </c>
      <c r="BI54" s="559" t="s">
        <v>300</v>
      </c>
      <c r="BJ54" s="559" t="s">
        <v>300</v>
      </c>
      <c r="BK54" s="559" t="s">
        <v>300</v>
      </c>
      <c r="BL54" s="559" t="s">
        <v>300</v>
      </c>
      <c r="BM54" s="559" t="s">
        <v>300</v>
      </c>
      <c r="BN54" s="559" t="s">
        <v>300</v>
      </c>
      <c r="BO54" s="559" t="s">
        <v>300</v>
      </c>
      <c r="BP54" s="559" t="s">
        <v>300</v>
      </c>
      <c r="BQ54" s="559" t="s">
        <v>300</v>
      </c>
      <c r="BR54" s="559" t="s">
        <v>300</v>
      </c>
      <c r="BS54" s="559" t="s">
        <v>300</v>
      </c>
      <c r="BT54" s="559" t="s">
        <v>300</v>
      </c>
      <c r="BU54" s="559" t="s">
        <v>300</v>
      </c>
      <c r="BV54" s="559" t="s">
        <v>300</v>
      </c>
      <c r="BW54" s="559" t="s">
        <v>300</v>
      </c>
      <c r="BX54" s="559" t="s">
        <v>300</v>
      </c>
      <c r="BY54" s="559" t="s">
        <v>300</v>
      </c>
      <c r="BZ54" s="559" t="s">
        <v>300</v>
      </c>
      <c r="CA54" s="559" t="s">
        <v>300</v>
      </c>
      <c r="CB54" s="559" t="s">
        <v>300</v>
      </c>
      <c r="CC54" s="559" t="s">
        <v>300</v>
      </c>
      <c r="CD54" s="554"/>
      <c r="CE54" s="554"/>
      <c r="CF54" s="554"/>
      <c r="CG54" s="554"/>
      <c r="CH54" s="554"/>
      <c r="CI54" s="554"/>
      <c r="CJ54" s="554"/>
      <c r="CK54" s="554"/>
      <c r="CL54" s="554"/>
      <c r="CM54" s="554"/>
      <c r="CN54" s="554"/>
      <c r="CO54" s="554"/>
      <c r="CP54" s="554"/>
      <c r="CQ54" s="554"/>
      <c r="CR54" s="554"/>
      <c r="CS54" s="554"/>
      <c r="CT54" s="554"/>
      <c r="CU54" s="554"/>
      <c r="CV54" s="554"/>
      <c r="CW54" s="554"/>
      <c r="CX54" s="554"/>
      <c r="CY54" s="554"/>
      <c r="CZ54" s="554"/>
      <c r="DA54" s="554"/>
      <c r="DB54" s="554"/>
      <c r="DC54" s="554"/>
      <c r="DD54" s="554"/>
      <c r="DE54" s="534"/>
      <c r="DF54" s="534"/>
      <c r="DG54" s="534"/>
    </row>
    <row r="55" spans="1:111" ht="15" hidden="1" x14ac:dyDescent="0.25">
      <c r="A55" s="549" t="str">
        <f>IF(Control!$D$5="N","-",1)</f>
        <v>-</v>
      </c>
      <c r="B55" s="555" t="s">
        <v>558</v>
      </c>
      <c r="C55" s="555" t="s">
        <v>559</v>
      </c>
      <c r="D55" s="555" t="s">
        <v>560</v>
      </c>
      <c r="E55" s="556" t="s">
        <v>22</v>
      </c>
      <c r="F55" s="556" t="s">
        <v>22</v>
      </c>
      <c r="G55" s="556" t="str">
        <f>IFERROR(IF(MID('Load Criteria'!X55,FIND("_",'Load Criteria'!X55,1)+1,1)=LEFT(Control!$D$23,1),"YES","-"),"-")</f>
        <v>YES</v>
      </c>
      <c r="H55" s="549" t="str">
        <f>IF(INDEX('Weather Cases'!$G$10:$G$94,MATCH('Load Criteria'!X55,'Weather Cases'!$H$10:$H$94,0),1)="H","YES","")</f>
        <v>YES</v>
      </c>
      <c r="I55" s="557" t="s">
        <v>309</v>
      </c>
      <c r="J55" s="550">
        <f t="shared" ref="J55:J68" si="13">J40</f>
        <v>500</v>
      </c>
      <c r="K55" s="550" t="s">
        <v>88</v>
      </c>
      <c r="L55" s="253" t="s">
        <v>300</v>
      </c>
      <c r="M55" s="253"/>
      <c r="N55" s="253"/>
      <c r="O55" s="253"/>
      <c r="P55" s="394"/>
      <c r="Q55" s="394"/>
      <c r="R55" s="394"/>
      <c r="S55" s="394"/>
      <c r="T55" s="394"/>
      <c r="U55" s="550" t="s">
        <v>247</v>
      </c>
      <c r="V55" s="551" t="s">
        <v>300</v>
      </c>
      <c r="W55" s="542" t="str">
        <f t="shared" si="6"/>
        <v>MT0500_A8+E Max</v>
      </c>
      <c r="X55" s="552" t="str">
        <f>I55&amp;TEXT(J55,"0000")&amp;"_"&amp;LEFT(Control!$D$23,1)&amp;LEFT(Control!$D$22,LEN(Control!$D$22)-2)</f>
        <v>MT0500_A8</v>
      </c>
      <c r="Y55" s="552" t="s">
        <v>433</v>
      </c>
      <c r="Z55" s="552" t="str">
        <f t="shared" si="8"/>
        <v>Max</v>
      </c>
      <c r="AA55" s="552" t="str">
        <f t="shared" si="12"/>
        <v/>
      </c>
      <c r="AB55" s="552">
        <v>1</v>
      </c>
      <c r="AC55" s="552">
        <v>1</v>
      </c>
      <c r="AD55" s="552">
        <v>1</v>
      </c>
      <c r="AE55" s="552">
        <v>1</v>
      </c>
      <c r="AF55" s="552">
        <v>1</v>
      </c>
      <c r="AG55" s="542" t="s">
        <v>561</v>
      </c>
      <c r="AH55" s="552">
        <v>0</v>
      </c>
      <c r="AI55" s="552">
        <v>0</v>
      </c>
      <c r="AJ55" s="552">
        <v>1</v>
      </c>
      <c r="AK55" s="552">
        <v>1</v>
      </c>
      <c r="AL55" s="552">
        <v>1</v>
      </c>
      <c r="AM55" s="552">
        <v>0</v>
      </c>
      <c r="AN55" s="552">
        <v>0</v>
      </c>
      <c r="AO55" s="552">
        <v>1</v>
      </c>
      <c r="AP55" s="552">
        <v>1</v>
      </c>
      <c r="AQ55" s="552">
        <v>1</v>
      </c>
      <c r="AR55" s="552">
        <v>1</v>
      </c>
      <c r="AS55" s="552">
        <v>1</v>
      </c>
      <c r="AT55" s="552">
        <v>1</v>
      </c>
      <c r="AU55" s="552"/>
      <c r="AV55" s="553" t="str">
        <f>IF(H55="YES","'"&amp;INDEX('Structure Groups'!$C$12:$C$14,MATCH('Load Criteria'!$B$5,'Structure Groups'!$B$12:$B$14,0),1)&amp;"'","'All'")</f>
        <v>'GL Max 800m'</v>
      </c>
      <c r="AW55" s="552" t="s">
        <v>562</v>
      </c>
      <c r="AX55" s="552"/>
      <c r="AY55" s="552" t="str">
        <f t="shared" si="10"/>
        <v>No</v>
      </c>
      <c r="AZ55" s="554" t="str">
        <f t="shared" si="11"/>
        <v/>
      </c>
      <c r="BA55" s="554" t="str">
        <f t="shared" si="4"/>
        <v/>
      </c>
      <c r="BB55" s="552" t="str">
        <f t="shared" si="5"/>
        <v/>
      </c>
      <c r="BC55" s="554"/>
      <c r="BD55" s="552"/>
      <c r="BE55" s="554"/>
      <c r="BF55" s="554"/>
      <c r="BG55" s="554"/>
      <c r="BH55" s="554"/>
      <c r="BI55" s="554"/>
      <c r="BJ55" s="554"/>
      <c r="BK55" s="554"/>
      <c r="BL55" s="554"/>
      <c r="BM55" s="554"/>
      <c r="BN55" s="554"/>
      <c r="BO55" s="554"/>
      <c r="BP55" s="554"/>
      <c r="BQ55" s="554"/>
      <c r="BR55" s="554"/>
      <c r="BS55" s="554"/>
      <c r="BT55" s="554"/>
      <c r="BU55" s="554"/>
      <c r="BV55" s="554"/>
      <c r="BW55" s="554"/>
      <c r="BX55" s="554"/>
      <c r="BY55" s="554"/>
      <c r="BZ55" s="554"/>
      <c r="CA55" s="554"/>
      <c r="CB55" s="554"/>
      <c r="CC55" s="554"/>
      <c r="CD55" s="554"/>
      <c r="CE55" s="554"/>
      <c r="CF55" s="554"/>
      <c r="CG55" s="554"/>
      <c r="CH55" s="554"/>
      <c r="CI55" s="554"/>
      <c r="CJ55" s="554"/>
      <c r="CK55" s="554"/>
      <c r="CL55" s="554"/>
      <c r="CM55" s="554"/>
      <c r="CN55" s="554"/>
      <c r="CO55" s="554"/>
      <c r="CP55" s="554"/>
      <c r="CQ55" s="554"/>
      <c r="CR55" s="554"/>
      <c r="CS55" s="554"/>
      <c r="CT55" s="554"/>
      <c r="CU55" s="554"/>
      <c r="CV55" s="554"/>
      <c r="CW55" s="554"/>
      <c r="CX55" s="554"/>
      <c r="CY55" s="554"/>
      <c r="CZ55" s="554"/>
      <c r="DA55" s="554"/>
      <c r="DB55" s="554"/>
      <c r="DC55" s="554"/>
      <c r="DD55" s="554"/>
      <c r="DE55" s="534"/>
      <c r="DF55" s="534"/>
      <c r="DG55" s="534"/>
    </row>
    <row r="56" spans="1:111" ht="15" hidden="1" x14ac:dyDescent="0.25">
      <c r="A56" s="549" t="str">
        <f>IF(Control!$D$5="N","-",1)</f>
        <v>-</v>
      </c>
      <c r="B56" s="555" t="s">
        <v>558</v>
      </c>
      <c r="C56" s="555" t="s">
        <v>559</v>
      </c>
      <c r="D56" s="555" t="s">
        <v>560</v>
      </c>
      <c r="E56" s="556" t="s">
        <v>22</v>
      </c>
      <c r="F56" s="556" t="s">
        <v>22</v>
      </c>
      <c r="G56" s="556" t="str">
        <f>IFERROR(IF(MID('Load Criteria'!X56,FIND("_",'Load Criteria'!X56,1)+1,1)=LEFT(Control!$D$23,1),"YES","-"),"-")</f>
        <v>YES</v>
      </c>
      <c r="H56" s="549" t="str">
        <f>IF(INDEX('Weather Cases'!$G$10:$G$94,MATCH('Load Criteria'!X56,'Weather Cases'!$H$10:$H$94,0),1)="H","YES","")</f>
        <v>YES</v>
      </c>
      <c r="I56" s="557" t="s">
        <v>309</v>
      </c>
      <c r="J56" s="550">
        <f t="shared" si="13"/>
        <v>400</v>
      </c>
      <c r="K56" s="550" t="s">
        <v>88</v>
      </c>
      <c r="L56" s="253" t="s">
        <v>300</v>
      </c>
      <c r="M56" s="253"/>
      <c r="N56" s="253"/>
      <c r="O56" s="253"/>
      <c r="P56" s="394"/>
      <c r="Q56" s="394"/>
      <c r="R56" s="394"/>
      <c r="S56" s="394"/>
      <c r="T56" s="394"/>
      <c r="U56" s="550" t="s">
        <v>247</v>
      </c>
      <c r="V56" s="551" t="s">
        <v>300</v>
      </c>
      <c r="W56" s="542" t="str">
        <f t="shared" si="6"/>
        <v>MT0400_A8+E Max</v>
      </c>
      <c r="X56" s="552" t="str">
        <f>I56&amp;TEXT(J56,"0000")&amp;"_"&amp;LEFT(Control!$D$23,1)&amp;LEFT(Control!$D$22,LEN(Control!$D$22)-2)</f>
        <v>MT0400_A8</v>
      </c>
      <c r="Y56" s="552" t="s">
        <v>433</v>
      </c>
      <c r="Z56" s="552" t="str">
        <f t="shared" si="8"/>
        <v>Max</v>
      </c>
      <c r="AA56" s="552" t="str">
        <f t="shared" si="12"/>
        <v/>
      </c>
      <c r="AB56" s="552">
        <v>1</v>
      </c>
      <c r="AC56" s="552">
        <v>1</v>
      </c>
      <c r="AD56" s="552">
        <v>1</v>
      </c>
      <c r="AE56" s="552">
        <v>1</v>
      </c>
      <c r="AF56" s="552">
        <v>1</v>
      </c>
      <c r="AG56" s="542" t="s">
        <v>561</v>
      </c>
      <c r="AH56" s="552">
        <v>0</v>
      </c>
      <c r="AI56" s="552">
        <v>0</v>
      </c>
      <c r="AJ56" s="552">
        <v>1</v>
      </c>
      <c r="AK56" s="552">
        <v>1</v>
      </c>
      <c r="AL56" s="552">
        <v>1</v>
      </c>
      <c r="AM56" s="552">
        <v>0</v>
      </c>
      <c r="AN56" s="552">
        <v>0</v>
      </c>
      <c r="AO56" s="552">
        <v>1</v>
      </c>
      <c r="AP56" s="552">
        <v>1</v>
      </c>
      <c r="AQ56" s="552">
        <v>1</v>
      </c>
      <c r="AR56" s="552">
        <v>1</v>
      </c>
      <c r="AS56" s="552">
        <v>1</v>
      </c>
      <c r="AT56" s="552">
        <v>1</v>
      </c>
      <c r="AU56" s="552"/>
      <c r="AV56" s="553" t="str">
        <f>IF(H56="YES","'"&amp;INDEX('Structure Groups'!$C$12:$C$14,MATCH('Load Criteria'!$B$5,'Structure Groups'!$B$12:$B$14,0),1)&amp;"'","'All'")</f>
        <v>'GL Max 800m'</v>
      </c>
      <c r="AW56" s="552" t="s">
        <v>562</v>
      </c>
      <c r="AX56" s="552"/>
      <c r="AY56" s="552" t="str">
        <f t="shared" si="10"/>
        <v>No</v>
      </c>
      <c r="AZ56" s="554" t="str">
        <f t="shared" si="11"/>
        <v/>
      </c>
      <c r="BA56" s="554" t="str">
        <f t="shared" si="4"/>
        <v/>
      </c>
      <c r="BB56" s="552" t="str">
        <f t="shared" si="5"/>
        <v/>
      </c>
      <c r="BC56" s="554"/>
      <c r="BD56" s="552"/>
      <c r="BE56" s="554"/>
      <c r="BF56" s="554"/>
      <c r="BG56" s="554"/>
      <c r="BH56" s="554"/>
      <c r="BI56" s="554"/>
      <c r="BJ56" s="554"/>
      <c r="BK56" s="554"/>
      <c r="BL56" s="554"/>
      <c r="BM56" s="554"/>
      <c r="BN56" s="554"/>
      <c r="BO56" s="554"/>
      <c r="BP56" s="554"/>
      <c r="BQ56" s="554"/>
      <c r="BR56" s="554"/>
      <c r="BS56" s="554"/>
      <c r="BT56" s="554"/>
      <c r="BU56" s="554"/>
      <c r="BV56" s="554"/>
      <c r="BW56" s="554"/>
      <c r="BX56" s="554"/>
      <c r="BY56" s="554"/>
      <c r="BZ56" s="554"/>
      <c r="CA56" s="554"/>
      <c r="CB56" s="554"/>
      <c r="CC56" s="554"/>
      <c r="CD56" s="554"/>
      <c r="CE56" s="554"/>
      <c r="CF56" s="554"/>
      <c r="CG56" s="554"/>
      <c r="CH56" s="554"/>
      <c r="CI56" s="554"/>
      <c r="CJ56" s="554"/>
      <c r="CK56" s="554"/>
      <c r="CL56" s="554"/>
      <c r="CM56" s="554"/>
      <c r="CN56" s="554"/>
      <c r="CO56" s="554"/>
      <c r="CP56" s="554"/>
      <c r="CQ56" s="554"/>
      <c r="CR56" s="554"/>
      <c r="CS56" s="554"/>
      <c r="CT56" s="554"/>
      <c r="CU56" s="554"/>
      <c r="CV56" s="554"/>
      <c r="CW56" s="554"/>
      <c r="CX56" s="554"/>
      <c r="CY56" s="554"/>
      <c r="CZ56" s="554"/>
      <c r="DA56" s="554"/>
      <c r="DB56" s="554"/>
      <c r="DC56" s="554"/>
      <c r="DD56" s="554"/>
      <c r="DE56" s="534"/>
      <c r="DF56" s="534"/>
      <c r="DG56" s="534"/>
    </row>
    <row r="57" spans="1:111" ht="15" hidden="1" x14ac:dyDescent="0.25">
      <c r="A57" s="549" t="str">
        <f>IF(Control!$D$5="N","-",1)</f>
        <v>-</v>
      </c>
      <c r="B57" s="555" t="s">
        <v>558</v>
      </c>
      <c r="C57" s="555" t="s">
        <v>559</v>
      </c>
      <c r="D57" s="555" t="s">
        <v>560</v>
      </c>
      <c r="E57" s="556" t="s">
        <v>22</v>
      </c>
      <c r="F57" s="556" t="s">
        <v>22</v>
      </c>
      <c r="G57" s="556" t="str">
        <f>IFERROR(IF(MID('Load Criteria'!X57,FIND("_",'Load Criteria'!X57,1)+1,1)=LEFT(Control!$D$23,1),"YES","-"),"-")</f>
        <v>YES</v>
      </c>
      <c r="H57" s="549" t="str">
        <f>IF(INDEX('Weather Cases'!$G$10:$G$94,MATCH('Load Criteria'!X57,'Weather Cases'!$H$10:$H$94,0),1)="H","YES","")</f>
        <v>YES</v>
      </c>
      <c r="I57" s="557" t="s">
        <v>309</v>
      </c>
      <c r="J57" s="550">
        <f t="shared" si="13"/>
        <v>300</v>
      </c>
      <c r="K57" s="550" t="s">
        <v>88</v>
      </c>
      <c r="L57" s="253" t="s">
        <v>300</v>
      </c>
      <c r="M57" s="253"/>
      <c r="N57" s="253"/>
      <c r="O57" s="253"/>
      <c r="P57" s="394"/>
      <c r="Q57" s="394"/>
      <c r="R57" s="394"/>
      <c r="S57" s="394"/>
      <c r="T57" s="394"/>
      <c r="U57" s="550" t="s">
        <v>247</v>
      </c>
      <c r="V57" s="551" t="s">
        <v>300</v>
      </c>
      <c r="W57" s="542" t="str">
        <f t="shared" si="6"/>
        <v>MT0300_A8+E Max</v>
      </c>
      <c r="X57" s="552" t="str">
        <f>I57&amp;TEXT(J57,"0000")&amp;"_"&amp;LEFT(Control!$D$23,1)&amp;LEFT(Control!$D$22,LEN(Control!$D$22)-2)</f>
        <v>MT0300_A8</v>
      </c>
      <c r="Y57" s="552" t="s">
        <v>433</v>
      </c>
      <c r="Z57" s="552" t="str">
        <f t="shared" si="8"/>
        <v>Max</v>
      </c>
      <c r="AA57" s="552" t="str">
        <f t="shared" si="12"/>
        <v/>
      </c>
      <c r="AB57" s="552">
        <v>1</v>
      </c>
      <c r="AC57" s="552">
        <v>1</v>
      </c>
      <c r="AD57" s="552">
        <v>1</v>
      </c>
      <c r="AE57" s="552">
        <v>1</v>
      </c>
      <c r="AF57" s="552">
        <v>1</v>
      </c>
      <c r="AG57" s="542" t="s">
        <v>561</v>
      </c>
      <c r="AH57" s="552">
        <v>0</v>
      </c>
      <c r="AI57" s="552">
        <v>0</v>
      </c>
      <c r="AJ57" s="552">
        <v>1</v>
      </c>
      <c r="AK57" s="552">
        <v>1</v>
      </c>
      <c r="AL57" s="552">
        <v>1</v>
      </c>
      <c r="AM57" s="552">
        <v>0</v>
      </c>
      <c r="AN57" s="552">
        <v>0</v>
      </c>
      <c r="AO57" s="552">
        <v>1</v>
      </c>
      <c r="AP57" s="552">
        <v>1</v>
      </c>
      <c r="AQ57" s="552">
        <v>1</v>
      </c>
      <c r="AR57" s="552">
        <v>1</v>
      </c>
      <c r="AS57" s="552">
        <v>1</v>
      </c>
      <c r="AT57" s="552">
        <v>1</v>
      </c>
      <c r="AU57" s="552"/>
      <c r="AV57" s="553" t="str">
        <f>IF(H57="YES","'"&amp;INDEX('Structure Groups'!$C$12:$C$14,MATCH('Load Criteria'!$B$5,'Structure Groups'!$B$12:$B$14,0),1)&amp;"'","'All'")</f>
        <v>'GL Max 800m'</v>
      </c>
      <c r="AW57" s="552" t="s">
        <v>562</v>
      </c>
      <c r="AX57" s="552"/>
      <c r="AY57" s="552" t="str">
        <f t="shared" si="10"/>
        <v>No</v>
      </c>
      <c r="AZ57" s="554" t="str">
        <f t="shared" si="11"/>
        <v/>
      </c>
      <c r="BA57" s="554" t="str">
        <f t="shared" si="4"/>
        <v/>
      </c>
      <c r="BB57" s="552" t="str">
        <f t="shared" si="5"/>
        <v/>
      </c>
      <c r="BC57" s="554"/>
      <c r="BD57" s="552"/>
      <c r="BE57" s="554"/>
      <c r="BF57" s="554"/>
      <c r="BG57" s="554"/>
      <c r="BH57" s="554"/>
      <c r="BI57" s="554"/>
      <c r="BJ57" s="554"/>
      <c r="BK57" s="554"/>
      <c r="BL57" s="554"/>
      <c r="BM57" s="554"/>
      <c r="BN57" s="554"/>
      <c r="BO57" s="554"/>
      <c r="BP57" s="554"/>
      <c r="BQ57" s="554"/>
      <c r="BR57" s="554"/>
      <c r="BS57" s="554"/>
      <c r="BT57" s="554"/>
      <c r="BU57" s="554"/>
      <c r="BV57" s="554"/>
      <c r="BW57" s="554"/>
      <c r="BX57" s="554"/>
      <c r="BY57" s="554"/>
      <c r="BZ57" s="554"/>
      <c r="CA57" s="554"/>
      <c r="CB57" s="554"/>
      <c r="CC57" s="554"/>
      <c r="CD57" s="554"/>
      <c r="CE57" s="554"/>
      <c r="CF57" s="554"/>
      <c r="CG57" s="554"/>
      <c r="CH57" s="554"/>
      <c r="CI57" s="554"/>
      <c r="CJ57" s="554"/>
      <c r="CK57" s="554"/>
      <c r="CL57" s="554"/>
      <c r="CM57" s="554"/>
      <c r="CN57" s="554"/>
      <c r="CO57" s="554"/>
      <c r="CP57" s="554"/>
      <c r="CQ57" s="554"/>
      <c r="CR57" s="554"/>
      <c r="CS57" s="554"/>
      <c r="CT57" s="554"/>
      <c r="CU57" s="554"/>
      <c r="CV57" s="554"/>
      <c r="CW57" s="554"/>
      <c r="CX57" s="554"/>
      <c r="CY57" s="554"/>
      <c r="CZ57" s="554"/>
      <c r="DA57" s="554"/>
      <c r="DB57" s="554"/>
      <c r="DC57" s="554"/>
      <c r="DD57" s="554"/>
      <c r="DE57" s="534"/>
      <c r="DF57" s="534"/>
      <c r="DG57" s="534"/>
    </row>
    <row r="58" spans="1:111" ht="15" hidden="1" x14ac:dyDescent="0.25">
      <c r="A58" s="549" t="str">
        <f>IF(Control!$D$5="N","-",1)</f>
        <v>-</v>
      </c>
      <c r="B58" s="555" t="s">
        <v>558</v>
      </c>
      <c r="C58" s="555" t="s">
        <v>559</v>
      </c>
      <c r="D58" s="555" t="s">
        <v>560</v>
      </c>
      <c r="E58" s="556" t="s">
        <v>22</v>
      </c>
      <c r="F58" s="556" t="s">
        <v>22</v>
      </c>
      <c r="G58" s="556" t="str">
        <f>IFERROR(IF(MID('Load Criteria'!X58,FIND("_",'Load Criteria'!X58,1)+1,1)=LEFT(Control!$D$23,1),"YES","-"),"-")</f>
        <v>YES</v>
      </c>
      <c r="H58" s="549" t="str">
        <f>IF(INDEX('Weather Cases'!$G$10:$G$94,MATCH('Load Criteria'!X58,'Weather Cases'!$H$10:$H$94,0),1)="H","YES","")</f>
        <v>YES</v>
      </c>
      <c r="I58" s="557" t="s">
        <v>309</v>
      </c>
      <c r="J58" s="550">
        <f t="shared" si="13"/>
        <v>250</v>
      </c>
      <c r="K58" s="550" t="s">
        <v>88</v>
      </c>
      <c r="L58" s="253" t="s">
        <v>300</v>
      </c>
      <c r="M58" s="253"/>
      <c r="N58" s="253"/>
      <c r="O58" s="253"/>
      <c r="P58" s="394"/>
      <c r="Q58" s="394"/>
      <c r="R58" s="394"/>
      <c r="S58" s="394"/>
      <c r="T58" s="394"/>
      <c r="U58" s="550" t="s">
        <v>247</v>
      </c>
      <c r="V58" s="551" t="s">
        <v>300</v>
      </c>
      <c r="W58" s="542" t="str">
        <f t="shared" si="6"/>
        <v>MT0250_A8+E Max</v>
      </c>
      <c r="X58" s="552" t="str">
        <f>I58&amp;TEXT(J58,"0000")&amp;"_"&amp;LEFT(Control!$D$23,1)&amp;LEFT(Control!$D$22,LEN(Control!$D$22)-2)</f>
        <v>MT0250_A8</v>
      </c>
      <c r="Y58" s="552" t="s">
        <v>433</v>
      </c>
      <c r="Z58" s="552" t="str">
        <f>U58</f>
        <v>Max</v>
      </c>
      <c r="AA58" s="552" t="str">
        <f>V58</f>
        <v/>
      </c>
      <c r="AB58" s="552">
        <v>1</v>
      </c>
      <c r="AC58" s="552">
        <v>1</v>
      </c>
      <c r="AD58" s="552">
        <v>1</v>
      </c>
      <c r="AE58" s="552">
        <v>1</v>
      </c>
      <c r="AF58" s="552">
        <v>1</v>
      </c>
      <c r="AG58" s="542" t="s">
        <v>561</v>
      </c>
      <c r="AH58" s="552">
        <v>0</v>
      </c>
      <c r="AI58" s="552">
        <v>0</v>
      </c>
      <c r="AJ58" s="552">
        <v>1</v>
      </c>
      <c r="AK58" s="552">
        <v>1</v>
      </c>
      <c r="AL58" s="552">
        <v>1</v>
      </c>
      <c r="AM58" s="552">
        <v>0</v>
      </c>
      <c r="AN58" s="552">
        <v>0</v>
      </c>
      <c r="AO58" s="552">
        <v>1</v>
      </c>
      <c r="AP58" s="552">
        <v>1</v>
      </c>
      <c r="AQ58" s="552">
        <v>1</v>
      </c>
      <c r="AR58" s="552">
        <v>1</v>
      </c>
      <c r="AS58" s="552">
        <v>1</v>
      </c>
      <c r="AT58" s="552">
        <v>1</v>
      </c>
      <c r="AU58" s="552"/>
      <c r="AV58" s="553" t="str">
        <f>IF(H58="YES","'"&amp;INDEX('Structure Groups'!$C$12:$C$14,MATCH('Load Criteria'!$B$5,'Structure Groups'!$B$12:$B$14,0),1)&amp;"'","'All'")</f>
        <v>'GL Max 800m'</v>
      </c>
      <c r="AW58" s="552" t="s">
        <v>562</v>
      </c>
      <c r="AX58" s="552"/>
      <c r="AY58" s="552" t="str">
        <f t="shared" si="10"/>
        <v>No</v>
      </c>
      <c r="AZ58" s="554" t="str">
        <f t="shared" si="11"/>
        <v/>
      </c>
      <c r="BA58" s="554" t="str">
        <f t="shared" si="4"/>
        <v/>
      </c>
      <c r="BB58" s="552" t="str">
        <f t="shared" si="5"/>
        <v/>
      </c>
      <c r="BC58" s="554"/>
      <c r="BD58" s="552"/>
      <c r="BE58" s="554"/>
      <c r="BF58" s="554"/>
      <c r="BG58" s="554"/>
      <c r="BH58" s="554"/>
      <c r="BI58" s="554"/>
      <c r="BJ58" s="554"/>
      <c r="BK58" s="554"/>
      <c r="BL58" s="554"/>
      <c r="BM58" s="554"/>
      <c r="BN58" s="554"/>
      <c r="BO58" s="554"/>
      <c r="BP58" s="554"/>
      <c r="BQ58" s="554"/>
      <c r="BR58" s="554"/>
      <c r="BS58" s="554"/>
      <c r="BT58" s="554"/>
      <c r="BU58" s="554"/>
      <c r="BV58" s="554"/>
      <c r="BW58" s="554"/>
      <c r="BX58" s="554"/>
      <c r="BY58" s="554"/>
      <c r="BZ58" s="554"/>
      <c r="CA58" s="554"/>
      <c r="CB58" s="554"/>
      <c r="CC58" s="554"/>
      <c r="CD58" s="554"/>
      <c r="CE58" s="554"/>
      <c r="CF58" s="554"/>
      <c r="CG58" s="554"/>
      <c r="CH58" s="554"/>
      <c r="CI58" s="554"/>
      <c r="CJ58" s="554"/>
      <c r="CK58" s="554"/>
      <c r="CL58" s="554"/>
      <c r="CM58" s="554"/>
      <c r="CN58" s="554"/>
      <c r="CO58" s="554"/>
      <c r="CP58" s="554"/>
      <c r="CQ58" s="554"/>
      <c r="CR58" s="554"/>
      <c r="CS58" s="554"/>
      <c r="CT58" s="554"/>
      <c r="CU58" s="554"/>
      <c r="CV58" s="554"/>
      <c r="CW58" s="554"/>
      <c r="CX58" s="554"/>
      <c r="CY58" s="554"/>
      <c r="CZ58" s="554"/>
      <c r="DA58" s="554"/>
      <c r="DB58" s="554"/>
      <c r="DC58" s="554"/>
      <c r="DD58" s="554"/>
      <c r="DE58" s="534"/>
      <c r="DF58" s="534"/>
      <c r="DG58" s="534"/>
    </row>
    <row r="59" spans="1:111" ht="15" hidden="1" x14ac:dyDescent="0.25">
      <c r="A59" s="549" t="str">
        <f>IF(Control!$D$5="N","-",1)</f>
        <v>-</v>
      </c>
      <c r="B59" s="555" t="s">
        <v>558</v>
      </c>
      <c r="C59" s="555" t="s">
        <v>559</v>
      </c>
      <c r="D59" s="555" t="s">
        <v>560</v>
      </c>
      <c r="E59" s="556" t="s">
        <v>22</v>
      </c>
      <c r="F59" s="556" t="s">
        <v>22</v>
      </c>
      <c r="G59" s="556" t="str">
        <f>IFERROR(IF(MID('Load Criteria'!X59,FIND("_",'Load Criteria'!X59,1)+1,1)=LEFT(Control!$D$23,1),"YES","-"),"-")</f>
        <v>YES</v>
      </c>
      <c r="H59" s="549" t="str">
        <f>IF(INDEX('Weather Cases'!$G$10:$G$94,MATCH('Load Criteria'!X59,'Weather Cases'!$H$10:$H$94,0),1)="H","YES","")</f>
        <v>YES</v>
      </c>
      <c r="I59" s="557" t="s">
        <v>309</v>
      </c>
      <c r="J59" s="550">
        <f t="shared" si="13"/>
        <v>200</v>
      </c>
      <c r="K59" s="550" t="s">
        <v>88</v>
      </c>
      <c r="L59" s="253" t="s">
        <v>300</v>
      </c>
      <c r="M59" s="253"/>
      <c r="N59" s="253"/>
      <c r="O59" s="253"/>
      <c r="P59" s="394"/>
      <c r="Q59" s="394"/>
      <c r="R59" s="394"/>
      <c r="S59" s="394"/>
      <c r="T59" s="394"/>
      <c r="U59" s="550" t="s">
        <v>247</v>
      </c>
      <c r="V59" s="551" t="s">
        <v>300</v>
      </c>
      <c r="W59" s="542" t="str">
        <f t="shared" si="6"/>
        <v>MT0200_A8+E Max</v>
      </c>
      <c r="X59" s="552" t="str">
        <f>I59&amp;TEXT(J59,"0000")&amp;"_"&amp;LEFT(Control!$D$23,1)&amp;LEFT(Control!$D$22,LEN(Control!$D$22)-2)</f>
        <v>MT0200_A8</v>
      </c>
      <c r="Y59" s="552" t="s">
        <v>433</v>
      </c>
      <c r="Z59" s="552" t="str">
        <f t="shared" si="8"/>
        <v>Max</v>
      </c>
      <c r="AA59" s="552" t="str">
        <f t="shared" si="12"/>
        <v/>
      </c>
      <c r="AB59" s="552">
        <v>1</v>
      </c>
      <c r="AC59" s="552">
        <v>1</v>
      </c>
      <c r="AD59" s="552">
        <v>1</v>
      </c>
      <c r="AE59" s="552">
        <v>1</v>
      </c>
      <c r="AF59" s="552">
        <v>1</v>
      </c>
      <c r="AG59" s="542" t="s">
        <v>561</v>
      </c>
      <c r="AH59" s="552">
        <v>0</v>
      </c>
      <c r="AI59" s="552">
        <v>0</v>
      </c>
      <c r="AJ59" s="552">
        <v>1</v>
      </c>
      <c r="AK59" s="552">
        <v>1</v>
      </c>
      <c r="AL59" s="552">
        <v>1</v>
      </c>
      <c r="AM59" s="552">
        <v>0</v>
      </c>
      <c r="AN59" s="552">
        <v>0</v>
      </c>
      <c r="AO59" s="552">
        <v>1</v>
      </c>
      <c r="AP59" s="552">
        <v>1</v>
      </c>
      <c r="AQ59" s="552">
        <v>1</v>
      </c>
      <c r="AR59" s="552">
        <v>1</v>
      </c>
      <c r="AS59" s="552">
        <v>1</v>
      </c>
      <c r="AT59" s="552">
        <v>1</v>
      </c>
      <c r="AU59" s="552"/>
      <c r="AV59" s="553" t="str">
        <f>IF(H59="YES","'"&amp;INDEX('Structure Groups'!$C$12:$C$14,MATCH('Load Criteria'!$B$5,'Structure Groups'!$B$12:$B$14,0),1)&amp;"'","'All'")</f>
        <v>'GL Max 800m'</v>
      </c>
      <c r="AW59" s="552" t="s">
        <v>562</v>
      </c>
      <c r="AX59" s="552"/>
      <c r="AY59" s="552" t="str">
        <f t="shared" si="10"/>
        <v>No</v>
      </c>
      <c r="AZ59" s="554" t="str">
        <f t="shared" si="11"/>
        <v/>
      </c>
      <c r="BA59" s="554" t="str">
        <f t="shared" si="4"/>
        <v/>
      </c>
      <c r="BB59" s="552" t="str">
        <f t="shared" si="5"/>
        <v/>
      </c>
      <c r="BC59" s="554"/>
      <c r="BD59" s="552"/>
      <c r="BE59" s="554"/>
      <c r="BF59" s="554"/>
      <c r="BG59" s="554"/>
      <c r="BH59" s="554"/>
      <c r="BI59" s="554"/>
      <c r="BJ59" s="554"/>
      <c r="BK59" s="554"/>
      <c r="BL59" s="554"/>
      <c r="BM59" s="554"/>
      <c r="BN59" s="554"/>
      <c r="BO59" s="554"/>
      <c r="BP59" s="554"/>
      <c r="BQ59" s="554"/>
      <c r="BR59" s="554"/>
      <c r="BS59" s="554"/>
      <c r="BT59" s="554"/>
      <c r="BU59" s="554"/>
      <c r="BV59" s="554"/>
      <c r="BW59" s="554"/>
      <c r="BX59" s="554"/>
      <c r="BY59" s="554"/>
      <c r="BZ59" s="554"/>
      <c r="CA59" s="554"/>
      <c r="CB59" s="554"/>
      <c r="CC59" s="554"/>
      <c r="CD59" s="554"/>
      <c r="CE59" s="554"/>
      <c r="CF59" s="554"/>
      <c r="CG59" s="554"/>
      <c r="CH59" s="554"/>
      <c r="CI59" s="554"/>
      <c r="CJ59" s="554"/>
      <c r="CK59" s="554"/>
      <c r="CL59" s="554"/>
      <c r="CM59" s="554"/>
      <c r="CN59" s="554"/>
      <c r="CO59" s="554"/>
      <c r="CP59" s="554"/>
      <c r="CQ59" s="554"/>
      <c r="CR59" s="554"/>
      <c r="CS59" s="554"/>
      <c r="CT59" s="554"/>
      <c r="CU59" s="554"/>
      <c r="CV59" s="554"/>
      <c r="CW59" s="554"/>
      <c r="CX59" s="554"/>
      <c r="CY59" s="554"/>
      <c r="CZ59" s="554"/>
      <c r="DA59" s="554"/>
      <c r="DB59" s="554"/>
      <c r="DC59" s="554"/>
      <c r="DD59" s="554"/>
      <c r="DE59" s="534"/>
      <c r="DF59" s="534"/>
      <c r="DG59" s="534"/>
    </row>
    <row r="60" spans="1:111" ht="15" hidden="1" x14ac:dyDescent="0.25">
      <c r="A60" s="549" t="str">
        <f>IF(Control!$D$5="N","-",1)</f>
        <v>-</v>
      </c>
      <c r="B60" s="555" t="s">
        <v>558</v>
      </c>
      <c r="C60" s="555" t="s">
        <v>559</v>
      </c>
      <c r="D60" s="555" t="s">
        <v>560</v>
      </c>
      <c r="E60" s="556" t="s">
        <v>22</v>
      </c>
      <c r="F60" s="556" t="s">
        <v>22</v>
      </c>
      <c r="G60" s="556" t="str">
        <f>IFERROR(IF(MID('Load Criteria'!X60,FIND("_",'Load Criteria'!X60,1)+1,1)=LEFT(Control!$D$23,1),"YES","-"),"-")</f>
        <v>YES</v>
      </c>
      <c r="H60" s="549" t="str">
        <f>IF(INDEX('Weather Cases'!$G$10:$G$94,MATCH('Load Criteria'!X60,'Weather Cases'!$H$10:$H$94,0),1)="H","YES","")</f>
        <v>YES</v>
      </c>
      <c r="I60" s="557" t="s">
        <v>309</v>
      </c>
      <c r="J60" s="550">
        <f t="shared" si="13"/>
        <v>150</v>
      </c>
      <c r="K60" s="550" t="s">
        <v>88</v>
      </c>
      <c r="L60" s="253" t="s">
        <v>300</v>
      </c>
      <c r="M60" s="253"/>
      <c r="N60" s="253"/>
      <c r="O60" s="253"/>
      <c r="P60" s="394"/>
      <c r="Q60" s="394"/>
      <c r="R60" s="394"/>
      <c r="S60" s="394"/>
      <c r="T60" s="394"/>
      <c r="U60" s="550" t="s">
        <v>247</v>
      </c>
      <c r="V60" s="551" t="s">
        <v>300</v>
      </c>
      <c r="W60" s="542" t="str">
        <f t="shared" si="6"/>
        <v>MT0150_A8+E Max</v>
      </c>
      <c r="X60" s="552" t="str">
        <f>I60&amp;TEXT(J60,"0000")&amp;"_"&amp;LEFT(Control!$D$23,1)&amp;LEFT(Control!$D$22,LEN(Control!$D$22)-2)</f>
        <v>MT0150_A8</v>
      </c>
      <c r="Y60" s="552" t="s">
        <v>433</v>
      </c>
      <c r="Z60" s="552" t="str">
        <f t="shared" si="8"/>
        <v>Max</v>
      </c>
      <c r="AA60" s="552" t="str">
        <f t="shared" si="12"/>
        <v/>
      </c>
      <c r="AB60" s="552">
        <v>1</v>
      </c>
      <c r="AC60" s="552">
        <v>1</v>
      </c>
      <c r="AD60" s="552">
        <v>1</v>
      </c>
      <c r="AE60" s="552">
        <v>1</v>
      </c>
      <c r="AF60" s="552">
        <v>1</v>
      </c>
      <c r="AG60" s="542" t="s">
        <v>561</v>
      </c>
      <c r="AH60" s="552">
        <v>0</v>
      </c>
      <c r="AI60" s="552">
        <v>0</v>
      </c>
      <c r="AJ60" s="552">
        <v>1</v>
      </c>
      <c r="AK60" s="552">
        <v>1</v>
      </c>
      <c r="AL60" s="552">
        <v>1</v>
      </c>
      <c r="AM60" s="552">
        <v>0</v>
      </c>
      <c r="AN60" s="552">
        <v>0</v>
      </c>
      <c r="AO60" s="552">
        <v>1</v>
      </c>
      <c r="AP60" s="552">
        <v>1</v>
      </c>
      <c r="AQ60" s="552">
        <v>1</v>
      </c>
      <c r="AR60" s="552">
        <v>1</v>
      </c>
      <c r="AS60" s="552">
        <v>1</v>
      </c>
      <c r="AT60" s="552">
        <v>1</v>
      </c>
      <c r="AU60" s="552"/>
      <c r="AV60" s="553" t="str">
        <f>IF(H60="YES","'"&amp;INDEX('Structure Groups'!$C$12:$C$14,MATCH('Load Criteria'!$B$5,'Structure Groups'!$B$12:$B$14,0),1)&amp;"'","'All'")</f>
        <v>'GL Max 800m'</v>
      </c>
      <c r="AW60" s="552" t="s">
        <v>562</v>
      </c>
      <c r="AX60" s="552"/>
      <c r="AY60" s="552" t="str">
        <f t="shared" si="10"/>
        <v>No</v>
      </c>
      <c r="AZ60" s="554" t="str">
        <f t="shared" si="11"/>
        <v/>
      </c>
      <c r="BA60" s="554" t="str">
        <f t="shared" si="4"/>
        <v/>
      </c>
      <c r="BB60" s="552" t="str">
        <f t="shared" si="5"/>
        <v/>
      </c>
      <c r="BC60" s="554"/>
      <c r="BD60" s="552"/>
      <c r="BE60" s="554"/>
      <c r="BF60" s="554"/>
      <c r="BG60" s="554"/>
      <c r="BH60" s="554"/>
      <c r="BI60" s="554"/>
      <c r="BJ60" s="554"/>
      <c r="BK60" s="554"/>
      <c r="BL60" s="554"/>
      <c r="BM60" s="554"/>
      <c r="BN60" s="554"/>
      <c r="BO60" s="554"/>
      <c r="BP60" s="554"/>
      <c r="BQ60" s="554"/>
      <c r="BR60" s="554"/>
      <c r="BS60" s="554"/>
      <c r="BT60" s="554"/>
      <c r="BU60" s="554"/>
      <c r="BV60" s="554"/>
      <c r="BW60" s="554"/>
      <c r="BX60" s="554"/>
      <c r="BY60" s="554"/>
      <c r="BZ60" s="554"/>
      <c r="CA60" s="554"/>
      <c r="CB60" s="554"/>
      <c r="CC60" s="554"/>
      <c r="CD60" s="554"/>
      <c r="CE60" s="554"/>
      <c r="CF60" s="554"/>
      <c r="CG60" s="554"/>
      <c r="CH60" s="554"/>
      <c r="CI60" s="554"/>
      <c r="CJ60" s="554"/>
      <c r="CK60" s="554"/>
      <c r="CL60" s="554"/>
      <c r="CM60" s="554"/>
      <c r="CN60" s="554"/>
      <c r="CO60" s="554"/>
      <c r="CP60" s="554"/>
      <c r="CQ60" s="554"/>
      <c r="CR60" s="554"/>
      <c r="CS60" s="554"/>
      <c r="CT60" s="554"/>
      <c r="CU60" s="554"/>
      <c r="CV60" s="554"/>
      <c r="CW60" s="554"/>
      <c r="CX60" s="554"/>
      <c r="CY60" s="554"/>
      <c r="CZ60" s="554"/>
      <c r="DA60" s="554"/>
      <c r="DB60" s="554"/>
      <c r="DC60" s="554"/>
      <c r="DD60" s="554"/>
      <c r="DE60" s="534"/>
      <c r="DF60" s="534"/>
      <c r="DG60" s="534"/>
    </row>
    <row r="61" spans="1:111" ht="15" hidden="1" x14ac:dyDescent="0.25">
      <c r="A61" s="549" t="str">
        <f>IF(Control!$D$5="N","-",1)</f>
        <v>-</v>
      </c>
      <c r="B61" s="555" t="s">
        <v>558</v>
      </c>
      <c r="C61" s="555" t="s">
        <v>559</v>
      </c>
      <c r="D61" s="555" t="s">
        <v>560</v>
      </c>
      <c r="E61" s="556" t="s">
        <v>22</v>
      </c>
      <c r="F61" s="556" t="s">
        <v>22</v>
      </c>
      <c r="G61" s="556" t="str">
        <f>IFERROR(IF(MID('Load Criteria'!X61,FIND("_",'Load Criteria'!X61,1)+1,1)=LEFT(Control!$D$23,1),"YES","-"),"-")</f>
        <v>YES</v>
      </c>
      <c r="H61" s="549" t="str">
        <f>IF(INDEX('Weather Cases'!$G$10:$G$94,MATCH('Load Criteria'!X61,'Weather Cases'!$H$10:$H$94,0),1)="H","YES","")</f>
        <v>YES</v>
      </c>
      <c r="I61" s="557" t="s">
        <v>309</v>
      </c>
      <c r="J61" s="550">
        <f t="shared" si="13"/>
        <v>100</v>
      </c>
      <c r="K61" s="550" t="s">
        <v>88</v>
      </c>
      <c r="L61" s="253" t="s">
        <v>300</v>
      </c>
      <c r="M61" s="253"/>
      <c r="N61" s="253"/>
      <c r="O61" s="253"/>
      <c r="P61" s="394"/>
      <c r="Q61" s="394"/>
      <c r="R61" s="394"/>
      <c r="S61" s="394"/>
      <c r="T61" s="394"/>
      <c r="U61" s="550" t="s">
        <v>247</v>
      </c>
      <c r="V61" s="551" t="s">
        <v>300</v>
      </c>
      <c r="W61" s="542" t="str">
        <f t="shared" si="6"/>
        <v>MT0100_A8+E Max</v>
      </c>
      <c r="X61" s="552" t="str">
        <f>I61&amp;TEXT(J61,"0000")&amp;"_"&amp;LEFT(Control!$D$23,1)&amp;LEFT(Control!$D$22,LEN(Control!$D$22)-2)</f>
        <v>MT0100_A8</v>
      </c>
      <c r="Y61" s="552" t="s">
        <v>433</v>
      </c>
      <c r="Z61" s="552" t="str">
        <f t="shared" si="8"/>
        <v>Max</v>
      </c>
      <c r="AA61" s="552" t="str">
        <f t="shared" si="12"/>
        <v/>
      </c>
      <c r="AB61" s="552">
        <v>1</v>
      </c>
      <c r="AC61" s="552">
        <v>1</v>
      </c>
      <c r="AD61" s="552">
        <v>1</v>
      </c>
      <c r="AE61" s="552">
        <v>1</v>
      </c>
      <c r="AF61" s="552">
        <v>1</v>
      </c>
      <c r="AG61" s="542" t="s">
        <v>561</v>
      </c>
      <c r="AH61" s="552">
        <v>0</v>
      </c>
      <c r="AI61" s="552">
        <v>0</v>
      </c>
      <c r="AJ61" s="552">
        <v>1</v>
      </c>
      <c r="AK61" s="552">
        <v>1</v>
      </c>
      <c r="AL61" s="552">
        <v>1</v>
      </c>
      <c r="AM61" s="552">
        <v>0</v>
      </c>
      <c r="AN61" s="552">
        <v>0</v>
      </c>
      <c r="AO61" s="552">
        <v>1</v>
      </c>
      <c r="AP61" s="552">
        <v>1</v>
      </c>
      <c r="AQ61" s="552">
        <v>1</v>
      </c>
      <c r="AR61" s="552">
        <v>1</v>
      </c>
      <c r="AS61" s="552">
        <v>1</v>
      </c>
      <c r="AT61" s="552">
        <v>1</v>
      </c>
      <c r="AU61" s="552"/>
      <c r="AV61" s="553" t="str">
        <f>IF(H61="YES","'"&amp;INDEX('Structure Groups'!$C$12:$C$14,MATCH('Load Criteria'!$B$5,'Structure Groups'!$B$12:$B$14,0),1)&amp;"'","'All'")</f>
        <v>'GL Max 800m'</v>
      </c>
      <c r="AW61" s="552" t="s">
        <v>562</v>
      </c>
      <c r="AX61" s="552"/>
      <c r="AY61" s="552" t="str">
        <f t="shared" si="10"/>
        <v>No</v>
      </c>
      <c r="AZ61" s="554" t="str">
        <f t="shared" si="11"/>
        <v/>
      </c>
      <c r="BA61" s="554" t="str">
        <f t="shared" si="4"/>
        <v/>
      </c>
      <c r="BB61" s="552" t="str">
        <f t="shared" si="5"/>
        <v/>
      </c>
      <c r="BC61" s="554"/>
      <c r="BD61" s="552"/>
      <c r="BE61" s="554"/>
      <c r="BF61" s="554"/>
      <c r="BG61" s="554"/>
      <c r="BH61" s="554"/>
      <c r="BI61" s="554"/>
      <c r="BJ61" s="554"/>
      <c r="BK61" s="554"/>
      <c r="BL61" s="554"/>
      <c r="BM61" s="554"/>
      <c r="BN61" s="554"/>
      <c r="BO61" s="554"/>
      <c r="BP61" s="554"/>
      <c r="BQ61" s="554"/>
      <c r="BR61" s="554"/>
      <c r="BS61" s="554"/>
      <c r="BT61" s="554"/>
      <c r="BU61" s="554"/>
      <c r="BV61" s="554"/>
      <c r="BW61" s="554"/>
      <c r="BX61" s="554"/>
      <c r="BY61" s="554"/>
      <c r="BZ61" s="554"/>
      <c r="CA61" s="554"/>
      <c r="CB61" s="554"/>
      <c r="CC61" s="554"/>
      <c r="CD61" s="554"/>
      <c r="CE61" s="554"/>
      <c r="CF61" s="554"/>
      <c r="CG61" s="554"/>
      <c r="CH61" s="554"/>
      <c r="CI61" s="554"/>
      <c r="CJ61" s="554"/>
      <c r="CK61" s="554"/>
      <c r="CL61" s="554"/>
      <c r="CM61" s="554"/>
      <c r="CN61" s="554"/>
      <c r="CO61" s="554"/>
      <c r="CP61" s="554"/>
      <c r="CQ61" s="554"/>
      <c r="CR61" s="554"/>
      <c r="CS61" s="554"/>
      <c r="CT61" s="554"/>
      <c r="CU61" s="554"/>
      <c r="CV61" s="554"/>
      <c r="CW61" s="554"/>
      <c r="CX61" s="554"/>
      <c r="CY61" s="554"/>
      <c r="CZ61" s="554"/>
      <c r="DA61" s="554"/>
      <c r="DB61" s="554"/>
      <c r="DC61" s="554"/>
      <c r="DD61" s="554"/>
      <c r="DE61" s="534"/>
      <c r="DF61" s="534"/>
      <c r="DG61" s="534"/>
    </row>
    <row r="62" spans="1:111" ht="15" hidden="1" x14ac:dyDescent="0.25">
      <c r="A62" s="549" t="str">
        <f>IF(Control!$D$5="N","-",1)</f>
        <v>-</v>
      </c>
      <c r="B62" s="555" t="s">
        <v>558</v>
      </c>
      <c r="C62" s="555" t="s">
        <v>559</v>
      </c>
      <c r="D62" s="555" t="s">
        <v>560</v>
      </c>
      <c r="E62" s="556" t="s">
        <v>22</v>
      </c>
      <c r="F62" s="556" t="s">
        <v>22</v>
      </c>
      <c r="G62" s="556" t="str">
        <f>IFERROR(IF(MID('Load Criteria'!X62,FIND("_",'Load Criteria'!X62,1)+1,1)=LEFT(Control!$D$23,1),"YES","-"),"-")</f>
        <v>YES</v>
      </c>
      <c r="H62" s="549" t="str">
        <f>IF(INDEX('Weather Cases'!$G$10:$G$94,MATCH('Load Criteria'!X62,'Weather Cases'!$H$10:$H$94,0),1)="H","YES","")</f>
        <v>YES</v>
      </c>
      <c r="I62" s="557" t="s">
        <v>309</v>
      </c>
      <c r="J62" s="550">
        <f t="shared" si="13"/>
        <v>75</v>
      </c>
      <c r="K62" s="550" t="s">
        <v>88</v>
      </c>
      <c r="L62" s="253" t="s">
        <v>300</v>
      </c>
      <c r="M62" s="253"/>
      <c r="N62" s="253"/>
      <c r="O62" s="253"/>
      <c r="P62" s="394"/>
      <c r="Q62" s="394"/>
      <c r="R62" s="394"/>
      <c r="S62" s="394"/>
      <c r="T62" s="394"/>
      <c r="U62" s="550" t="s">
        <v>247</v>
      </c>
      <c r="V62" s="551" t="s">
        <v>300</v>
      </c>
      <c r="W62" s="542" t="str">
        <f t="shared" si="6"/>
        <v>MT0075_A8+E Max</v>
      </c>
      <c r="X62" s="552" t="str">
        <f>I62&amp;TEXT(J62,"0000")&amp;"_"&amp;LEFT(Control!$D$23,1)&amp;LEFT(Control!$D$22,LEN(Control!$D$22)-2)</f>
        <v>MT0075_A8</v>
      </c>
      <c r="Y62" s="552" t="s">
        <v>433</v>
      </c>
      <c r="Z62" s="552" t="str">
        <f t="shared" si="8"/>
        <v>Max</v>
      </c>
      <c r="AA62" s="552" t="str">
        <f t="shared" si="12"/>
        <v/>
      </c>
      <c r="AB62" s="552">
        <v>1</v>
      </c>
      <c r="AC62" s="552">
        <v>1</v>
      </c>
      <c r="AD62" s="552">
        <v>1</v>
      </c>
      <c r="AE62" s="552">
        <v>1</v>
      </c>
      <c r="AF62" s="552">
        <v>1</v>
      </c>
      <c r="AG62" s="542" t="s">
        <v>561</v>
      </c>
      <c r="AH62" s="552">
        <v>0</v>
      </c>
      <c r="AI62" s="552">
        <v>0</v>
      </c>
      <c r="AJ62" s="552">
        <v>1</v>
      </c>
      <c r="AK62" s="552">
        <v>1</v>
      </c>
      <c r="AL62" s="552">
        <v>1</v>
      </c>
      <c r="AM62" s="552">
        <v>0</v>
      </c>
      <c r="AN62" s="552">
        <v>0</v>
      </c>
      <c r="AO62" s="552">
        <v>1</v>
      </c>
      <c r="AP62" s="552">
        <v>1</v>
      </c>
      <c r="AQ62" s="552">
        <v>1</v>
      </c>
      <c r="AR62" s="552">
        <v>1</v>
      </c>
      <c r="AS62" s="552">
        <v>1</v>
      </c>
      <c r="AT62" s="552">
        <v>1</v>
      </c>
      <c r="AU62" s="552"/>
      <c r="AV62" s="553" t="str">
        <f>IF(H62="YES","'"&amp;INDEX('Structure Groups'!$C$12:$C$14,MATCH('Load Criteria'!$B$5,'Structure Groups'!$B$12:$B$14,0),1)&amp;"'","'All'")</f>
        <v>'GL Max 800m'</v>
      </c>
      <c r="AW62" s="552" t="s">
        <v>562</v>
      </c>
      <c r="AX62" s="552"/>
      <c r="AY62" s="552" t="str">
        <f t="shared" si="10"/>
        <v>No</v>
      </c>
      <c r="AZ62" s="554" t="str">
        <f t="shared" si="11"/>
        <v/>
      </c>
      <c r="BA62" s="554" t="str">
        <f t="shared" si="4"/>
        <v/>
      </c>
      <c r="BB62" s="552" t="str">
        <f t="shared" si="5"/>
        <v/>
      </c>
      <c r="BC62" s="554"/>
      <c r="BD62" s="552"/>
      <c r="BE62" s="554"/>
      <c r="BF62" s="554"/>
      <c r="BG62" s="554"/>
      <c r="BH62" s="554"/>
      <c r="BI62" s="554"/>
      <c r="BJ62" s="554"/>
      <c r="BK62" s="554"/>
      <c r="BL62" s="554"/>
      <c r="BM62" s="554"/>
      <c r="BN62" s="554"/>
      <c r="BO62" s="554"/>
      <c r="BP62" s="554"/>
      <c r="BQ62" s="554"/>
      <c r="BR62" s="554"/>
      <c r="BS62" s="554"/>
      <c r="BT62" s="554"/>
      <c r="BU62" s="554"/>
      <c r="BV62" s="554"/>
      <c r="BW62" s="554"/>
      <c r="BX62" s="554"/>
      <c r="BY62" s="554"/>
      <c r="BZ62" s="554"/>
      <c r="CA62" s="554"/>
      <c r="CB62" s="554"/>
      <c r="CC62" s="554"/>
      <c r="CD62" s="554"/>
      <c r="CE62" s="554"/>
      <c r="CF62" s="554"/>
      <c r="CG62" s="554"/>
      <c r="CH62" s="554"/>
      <c r="CI62" s="554"/>
      <c r="CJ62" s="554"/>
      <c r="CK62" s="554"/>
      <c r="CL62" s="554"/>
      <c r="CM62" s="554"/>
      <c r="CN62" s="554"/>
      <c r="CO62" s="554"/>
      <c r="CP62" s="554"/>
      <c r="CQ62" s="554"/>
      <c r="CR62" s="554"/>
      <c r="CS62" s="554"/>
      <c r="CT62" s="554"/>
      <c r="CU62" s="554"/>
      <c r="CV62" s="554"/>
      <c r="CW62" s="554"/>
      <c r="CX62" s="554"/>
      <c r="CY62" s="554"/>
      <c r="CZ62" s="554"/>
      <c r="DA62" s="554"/>
      <c r="DB62" s="554"/>
      <c r="DC62" s="554"/>
      <c r="DD62" s="554"/>
      <c r="DE62" s="534"/>
      <c r="DF62" s="534"/>
      <c r="DG62" s="534"/>
    </row>
    <row r="63" spans="1:111" ht="15" hidden="1" x14ac:dyDescent="0.25">
      <c r="A63" s="549" t="str">
        <f>IF(Control!$D$5="N","-",1)</f>
        <v>-</v>
      </c>
      <c r="B63" s="555" t="s">
        <v>558</v>
      </c>
      <c r="C63" s="555" t="s">
        <v>559</v>
      </c>
      <c r="D63" s="555" t="s">
        <v>560</v>
      </c>
      <c r="E63" s="556" t="s">
        <v>22</v>
      </c>
      <c r="F63" s="556" t="s">
        <v>22</v>
      </c>
      <c r="G63" s="556" t="str">
        <f>IFERROR(IF(MID('Load Criteria'!X63,FIND("_",'Load Criteria'!X63,1)+1,1)=LEFT(Control!$D$23,1),"YES","-"),"-")</f>
        <v>YES</v>
      </c>
      <c r="H63" s="549" t="str">
        <f>IF(INDEX('Weather Cases'!$G$10:$G$94,MATCH('Load Criteria'!X63,'Weather Cases'!$H$10:$H$94,0),1)="H","YES","")</f>
        <v>YES</v>
      </c>
      <c r="I63" s="557" t="s">
        <v>309</v>
      </c>
      <c r="J63" s="550">
        <f t="shared" si="13"/>
        <v>50</v>
      </c>
      <c r="K63" s="550" t="s">
        <v>88</v>
      </c>
      <c r="L63" s="253" t="s">
        <v>300</v>
      </c>
      <c r="M63" s="253"/>
      <c r="N63" s="253"/>
      <c r="O63" s="253"/>
      <c r="P63" s="394"/>
      <c r="Q63" s="394"/>
      <c r="R63" s="394"/>
      <c r="S63" s="394"/>
      <c r="T63" s="394"/>
      <c r="U63" s="550" t="s">
        <v>247</v>
      </c>
      <c r="V63" s="551" t="s">
        <v>300</v>
      </c>
      <c r="W63" s="542" t="str">
        <f t="shared" si="6"/>
        <v>MT0050_A8+E Max</v>
      </c>
      <c r="X63" s="552" t="str">
        <f>I63&amp;TEXT(J63,"0000")&amp;"_"&amp;LEFT(Control!$D$23,1)&amp;LEFT(Control!$D$22,LEN(Control!$D$22)-2)</f>
        <v>MT0050_A8</v>
      </c>
      <c r="Y63" s="552" t="s">
        <v>433</v>
      </c>
      <c r="Z63" s="552" t="str">
        <f t="shared" si="8"/>
        <v>Max</v>
      </c>
      <c r="AA63" s="552" t="str">
        <f t="shared" si="12"/>
        <v/>
      </c>
      <c r="AB63" s="552">
        <v>1</v>
      </c>
      <c r="AC63" s="552">
        <v>1</v>
      </c>
      <c r="AD63" s="552">
        <v>1</v>
      </c>
      <c r="AE63" s="552">
        <v>1</v>
      </c>
      <c r="AF63" s="552">
        <v>1</v>
      </c>
      <c r="AG63" s="542" t="s">
        <v>561</v>
      </c>
      <c r="AH63" s="552">
        <v>0</v>
      </c>
      <c r="AI63" s="552">
        <v>0</v>
      </c>
      <c r="AJ63" s="552">
        <v>1</v>
      </c>
      <c r="AK63" s="552">
        <v>1</v>
      </c>
      <c r="AL63" s="552">
        <v>1</v>
      </c>
      <c r="AM63" s="552">
        <v>0</v>
      </c>
      <c r="AN63" s="552">
        <v>0</v>
      </c>
      <c r="AO63" s="552">
        <v>1</v>
      </c>
      <c r="AP63" s="552">
        <v>1</v>
      </c>
      <c r="AQ63" s="552">
        <v>1</v>
      </c>
      <c r="AR63" s="552">
        <v>1</v>
      </c>
      <c r="AS63" s="552">
        <v>1</v>
      </c>
      <c r="AT63" s="552">
        <v>1</v>
      </c>
      <c r="AU63" s="552"/>
      <c r="AV63" s="553" t="str">
        <f>IF(H63="YES","'"&amp;INDEX('Structure Groups'!$C$12:$C$14,MATCH('Load Criteria'!$B$5,'Structure Groups'!$B$12:$B$14,0),1)&amp;"'","'All'")</f>
        <v>'GL Max 800m'</v>
      </c>
      <c r="AW63" s="552" t="s">
        <v>562</v>
      </c>
      <c r="AX63" s="552"/>
      <c r="AY63" s="552" t="str">
        <f t="shared" si="10"/>
        <v>No</v>
      </c>
      <c r="AZ63" s="554" t="str">
        <f t="shared" si="11"/>
        <v/>
      </c>
      <c r="BA63" s="554" t="str">
        <f t="shared" si="4"/>
        <v/>
      </c>
      <c r="BB63" s="552" t="str">
        <f t="shared" si="5"/>
        <v/>
      </c>
      <c r="BC63" s="554"/>
      <c r="BD63" s="552"/>
      <c r="BE63" s="554"/>
      <c r="BF63" s="554"/>
      <c r="BG63" s="554"/>
      <c r="BH63" s="554"/>
      <c r="BI63" s="554"/>
      <c r="BJ63" s="554"/>
      <c r="BK63" s="554"/>
      <c r="BL63" s="554"/>
      <c r="BM63" s="554"/>
      <c r="BN63" s="554"/>
      <c r="BO63" s="554"/>
      <c r="BP63" s="554"/>
      <c r="BQ63" s="554"/>
      <c r="BR63" s="554"/>
      <c r="BS63" s="554"/>
      <c r="BT63" s="554"/>
      <c r="BU63" s="554"/>
      <c r="BV63" s="554"/>
      <c r="BW63" s="554"/>
      <c r="BX63" s="554"/>
      <c r="BY63" s="554"/>
      <c r="BZ63" s="554"/>
      <c r="CA63" s="554"/>
      <c r="CB63" s="554"/>
      <c r="CC63" s="554"/>
      <c r="CD63" s="554"/>
      <c r="CE63" s="554"/>
      <c r="CF63" s="554"/>
      <c r="CG63" s="554"/>
      <c r="CH63" s="554"/>
      <c r="CI63" s="554"/>
      <c r="CJ63" s="554"/>
      <c r="CK63" s="554"/>
      <c r="CL63" s="554"/>
      <c r="CM63" s="554"/>
      <c r="CN63" s="554"/>
      <c r="CO63" s="554"/>
      <c r="CP63" s="554"/>
      <c r="CQ63" s="554"/>
      <c r="CR63" s="554"/>
      <c r="CS63" s="554"/>
      <c r="CT63" s="554"/>
      <c r="CU63" s="554"/>
      <c r="CV63" s="554"/>
      <c r="CW63" s="554"/>
      <c r="CX63" s="554"/>
      <c r="CY63" s="554"/>
      <c r="CZ63" s="554"/>
      <c r="DA63" s="554"/>
      <c r="DB63" s="554"/>
      <c r="DC63" s="554"/>
      <c r="DD63" s="554"/>
      <c r="DE63" s="534"/>
      <c r="DF63" s="534"/>
      <c r="DG63" s="534"/>
    </row>
    <row r="64" spans="1:111" ht="15" hidden="1" x14ac:dyDescent="0.25">
      <c r="A64" s="549" t="str">
        <f>IF(Control!$D$5="N","-",1)</f>
        <v>-</v>
      </c>
      <c r="B64" s="555" t="s">
        <v>558</v>
      </c>
      <c r="C64" s="555" t="s">
        <v>559</v>
      </c>
      <c r="D64" s="555" t="s">
        <v>560</v>
      </c>
      <c r="E64" s="556" t="s">
        <v>22</v>
      </c>
      <c r="F64" s="556" t="s">
        <v>22</v>
      </c>
      <c r="G64" s="556" t="str">
        <f>IFERROR(IF(MID('Load Criteria'!X64,FIND("_",'Load Criteria'!X64,1)+1,1)=LEFT(Control!$D$23,1),"YES","-"),"-")</f>
        <v>YES</v>
      </c>
      <c r="H64" s="549" t="str">
        <f>IF(INDEX('Weather Cases'!$G$10:$G$94,MATCH('Load Criteria'!X64,'Weather Cases'!$H$10:$H$94,0),1)="H","YES","")</f>
        <v>YES</v>
      </c>
      <c r="I64" s="557" t="s">
        <v>309</v>
      </c>
      <c r="J64" s="550">
        <f t="shared" si="13"/>
        <v>25</v>
      </c>
      <c r="K64" s="550" t="s">
        <v>88</v>
      </c>
      <c r="L64" s="253" t="s">
        <v>300</v>
      </c>
      <c r="M64" s="253"/>
      <c r="N64" s="253"/>
      <c r="O64" s="253"/>
      <c r="P64" s="394"/>
      <c r="Q64" s="394"/>
      <c r="R64" s="394"/>
      <c r="S64" s="394"/>
      <c r="T64" s="394"/>
      <c r="U64" s="550" t="s">
        <v>247</v>
      </c>
      <c r="V64" s="551" t="s">
        <v>300</v>
      </c>
      <c r="W64" s="542" t="str">
        <f t="shared" si="6"/>
        <v>MT0025_A8+E Max</v>
      </c>
      <c r="X64" s="552" t="str">
        <f>I64&amp;TEXT(J64,"0000")&amp;"_"&amp;LEFT(Control!$D$23,1)&amp;LEFT(Control!$D$22,LEN(Control!$D$22)-2)</f>
        <v>MT0025_A8</v>
      </c>
      <c r="Y64" s="552" t="s">
        <v>433</v>
      </c>
      <c r="Z64" s="552" t="str">
        <f t="shared" si="8"/>
        <v>Max</v>
      </c>
      <c r="AA64" s="552" t="str">
        <f t="shared" si="12"/>
        <v/>
      </c>
      <c r="AB64" s="552">
        <v>1</v>
      </c>
      <c r="AC64" s="552">
        <v>1</v>
      </c>
      <c r="AD64" s="552">
        <v>1</v>
      </c>
      <c r="AE64" s="552">
        <v>1</v>
      </c>
      <c r="AF64" s="552">
        <v>1</v>
      </c>
      <c r="AG64" s="542" t="s">
        <v>561</v>
      </c>
      <c r="AH64" s="552">
        <v>0</v>
      </c>
      <c r="AI64" s="552">
        <v>0</v>
      </c>
      <c r="AJ64" s="552">
        <v>1</v>
      </c>
      <c r="AK64" s="552">
        <v>1</v>
      </c>
      <c r="AL64" s="552">
        <v>1</v>
      </c>
      <c r="AM64" s="552">
        <v>0</v>
      </c>
      <c r="AN64" s="552">
        <v>0</v>
      </c>
      <c r="AO64" s="552">
        <v>1</v>
      </c>
      <c r="AP64" s="552">
        <v>1</v>
      </c>
      <c r="AQ64" s="552">
        <v>1</v>
      </c>
      <c r="AR64" s="552">
        <v>1</v>
      </c>
      <c r="AS64" s="552">
        <v>1</v>
      </c>
      <c r="AT64" s="552">
        <v>1</v>
      </c>
      <c r="AU64" s="552"/>
      <c r="AV64" s="553" t="str">
        <f>IF(H64="YES","'"&amp;INDEX('Structure Groups'!$C$12:$C$14,MATCH('Load Criteria'!$B$5,'Structure Groups'!$B$12:$B$14,0),1)&amp;"'","'All'")</f>
        <v>'GL Max 800m'</v>
      </c>
      <c r="AW64" s="552" t="s">
        <v>562</v>
      </c>
      <c r="AX64" s="552"/>
      <c r="AY64" s="552" t="str">
        <f t="shared" si="10"/>
        <v>No</v>
      </c>
      <c r="AZ64" s="554" t="str">
        <f t="shared" si="11"/>
        <v/>
      </c>
      <c r="BA64" s="554" t="str">
        <f t="shared" si="4"/>
        <v/>
      </c>
      <c r="BB64" s="552" t="str">
        <f t="shared" si="5"/>
        <v/>
      </c>
      <c r="BC64" s="554"/>
      <c r="BD64" s="552"/>
      <c r="BE64" s="554"/>
      <c r="BF64" s="554"/>
      <c r="BG64" s="554"/>
      <c r="BH64" s="554"/>
      <c r="BI64" s="554"/>
      <c r="BJ64" s="554"/>
      <c r="BK64" s="554"/>
      <c r="BL64" s="554"/>
      <c r="BM64" s="554"/>
      <c r="BN64" s="554"/>
      <c r="BO64" s="554"/>
      <c r="BP64" s="554"/>
      <c r="BQ64" s="554"/>
      <c r="BR64" s="554"/>
      <c r="BS64" s="554"/>
      <c r="BT64" s="554"/>
      <c r="BU64" s="554"/>
      <c r="BV64" s="554"/>
      <c r="BW64" s="554"/>
      <c r="BX64" s="554"/>
      <c r="BY64" s="554"/>
      <c r="BZ64" s="554"/>
      <c r="CA64" s="554"/>
      <c r="CB64" s="554"/>
      <c r="CC64" s="554"/>
      <c r="CD64" s="554"/>
      <c r="CE64" s="554"/>
      <c r="CF64" s="554"/>
      <c r="CG64" s="554"/>
      <c r="CH64" s="554"/>
      <c r="CI64" s="554"/>
      <c r="CJ64" s="554"/>
      <c r="CK64" s="554"/>
      <c r="CL64" s="554"/>
      <c r="CM64" s="554"/>
      <c r="CN64" s="554"/>
      <c r="CO64" s="554"/>
      <c r="CP64" s="554"/>
      <c r="CQ64" s="554"/>
      <c r="CR64" s="554"/>
      <c r="CS64" s="554"/>
      <c r="CT64" s="554"/>
      <c r="CU64" s="554"/>
      <c r="CV64" s="554"/>
      <c r="CW64" s="554"/>
      <c r="CX64" s="554"/>
      <c r="CY64" s="554"/>
      <c r="CZ64" s="554"/>
      <c r="DA64" s="554"/>
      <c r="DB64" s="554"/>
      <c r="DC64" s="554"/>
      <c r="DD64" s="554"/>
      <c r="DE64" s="534"/>
      <c r="DF64" s="534"/>
      <c r="DG64" s="534"/>
    </row>
    <row r="65" spans="1:111" ht="15" hidden="1" x14ac:dyDescent="0.25">
      <c r="A65" s="549" t="str">
        <f>IF(Control!$D$5="N","-",1)</f>
        <v>-</v>
      </c>
      <c r="B65" s="555" t="s">
        <v>558</v>
      </c>
      <c r="C65" s="555" t="s">
        <v>559</v>
      </c>
      <c r="D65" s="555" t="s">
        <v>560</v>
      </c>
      <c r="E65" s="556" t="s">
        <v>22</v>
      </c>
      <c r="F65" s="556" t="s">
        <v>22</v>
      </c>
      <c r="G65" s="556" t="str">
        <f>IFERROR(IF(MID('Load Criteria'!X65,FIND("_",'Load Criteria'!X65,1)+1,1)=LEFT(Control!$D$23,1),"YES","-"),"-")</f>
        <v>YES</v>
      </c>
      <c r="H65" s="549" t="str">
        <f>IF(INDEX('Weather Cases'!$G$10:$G$94,MATCH('Load Criteria'!X65,'Weather Cases'!$H$10:$H$94,0),1)="H","YES","")</f>
        <v>YES</v>
      </c>
      <c r="I65" s="557" t="s">
        <v>309</v>
      </c>
      <c r="J65" s="550">
        <f t="shared" si="13"/>
        <v>15</v>
      </c>
      <c r="K65" s="550" t="s">
        <v>88</v>
      </c>
      <c r="L65" s="253" t="s">
        <v>300</v>
      </c>
      <c r="M65" s="253"/>
      <c r="N65" s="253"/>
      <c r="O65" s="253"/>
      <c r="P65" s="394"/>
      <c r="Q65" s="394"/>
      <c r="R65" s="394"/>
      <c r="S65" s="394"/>
      <c r="T65" s="394"/>
      <c r="U65" s="550" t="s">
        <v>247</v>
      </c>
      <c r="V65" s="551" t="s">
        <v>300</v>
      </c>
      <c r="W65" s="542" t="str">
        <f t="shared" si="6"/>
        <v>MT0015_A8+E Max</v>
      </c>
      <c r="X65" s="552" t="str">
        <f>I65&amp;TEXT(J65,"0000")&amp;"_"&amp;LEFT(Control!$D$23,1)&amp;LEFT(Control!$D$22,LEN(Control!$D$22)-2)</f>
        <v>MT0015_A8</v>
      </c>
      <c r="Y65" s="552" t="s">
        <v>433</v>
      </c>
      <c r="Z65" s="552" t="str">
        <f t="shared" si="8"/>
        <v>Max</v>
      </c>
      <c r="AA65" s="552" t="str">
        <f t="shared" si="12"/>
        <v/>
      </c>
      <c r="AB65" s="552">
        <v>1</v>
      </c>
      <c r="AC65" s="552">
        <v>1</v>
      </c>
      <c r="AD65" s="552">
        <v>1</v>
      </c>
      <c r="AE65" s="552">
        <v>1</v>
      </c>
      <c r="AF65" s="552">
        <v>1</v>
      </c>
      <c r="AG65" s="542" t="s">
        <v>561</v>
      </c>
      <c r="AH65" s="552">
        <v>0</v>
      </c>
      <c r="AI65" s="552">
        <v>0</v>
      </c>
      <c r="AJ65" s="552">
        <v>1</v>
      </c>
      <c r="AK65" s="552">
        <v>1</v>
      </c>
      <c r="AL65" s="552">
        <v>1</v>
      </c>
      <c r="AM65" s="552">
        <v>0</v>
      </c>
      <c r="AN65" s="552">
        <v>0</v>
      </c>
      <c r="AO65" s="552">
        <v>1</v>
      </c>
      <c r="AP65" s="552">
        <v>1</v>
      </c>
      <c r="AQ65" s="552">
        <v>1</v>
      </c>
      <c r="AR65" s="552">
        <v>1</v>
      </c>
      <c r="AS65" s="552">
        <v>1</v>
      </c>
      <c r="AT65" s="552">
        <v>1</v>
      </c>
      <c r="AU65" s="552"/>
      <c r="AV65" s="553" t="str">
        <f>IF(H65="YES","'"&amp;INDEX('Structure Groups'!$C$12:$C$14,MATCH('Load Criteria'!$B$5,'Structure Groups'!$B$12:$B$14,0),1)&amp;"'","'All'")</f>
        <v>'GL Max 800m'</v>
      </c>
      <c r="AW65" s="552" t="s">
        <v>562</v>
      </c>
      <c r="AX65" s="552"/>
      <c r="AY65" s="552" t="str">
        <f t="shared" si="10"/>
        <v>No</v>
      </c>
      <c r="AZ65" s="554" t="str">
        <f t="shared" si="11"/>
        <v/>
      </c>
      <c r="BA65" s="554" t="str">
        <f t="shared" si="4"/>
        <v/>
      </c>
      <c r="BB65" s="552" t="str">
        <f t="shared" si="5"/>
        <v/>
      </c>
      <c r="BC65" s="554"/>
      <c r="BD65" s="552"/>
      <c r="BE65" s="554"/>
      <c r="BF65" s="554"/>
      <c r="BG65" s="554"/>
      <c r="BH65" s="554"/>
      <c r="BI65" s="554"/>
      <c r="BJ65" s="554"/>
      <c r="BK65" s="554"/>
      <c r="BL65" s="554"/>
      <c r="BM65" s="554"/>
      <c r="BN65" s="554"/>
      <c r="BO65" s="554"/>
      <c r="BP65" s="554"/>
      <c r="BQ65" s="554"/>
      <c r="BR65" s="554"/>
      <c r="BS65" s="554"/>
      <c r="BT65" s="554"/>
      <c r="BU65" s="554"/>
      <c r="BV65" s="554"/>
      <c r="BW65" s="554"/>
      <c r="BX65" s="554"/>
      <c r="BY65" s="554"/>
      <c r="BZ65" s="554"/>
      <c r="CA65" s="554"/>
      <c r="CB65" s="554"/>
      <c r="CC65" s="554"/>
      <c r="CD65" s="554"/>
      <c r="CE65" s="554"/>
      <c r="CF65" s="554"/>
      <c r="CG65" s="554"/>
      <c r="CH65" s="554"/>
      <c r="CI65" s="554"/>
      <c r="CJ65" s="554"/>
      <c r="CK65" s="554"/>
      <c r="CL65" s="554"/>
      <c r="CM65" s="554"/>
      <c r="CN65" s="554"/>
      <c r="CO65" s="554"/>
      <c r="CP65" s="554"/>
      <c r="CQ65" s="554"/>
      <c r="CR65" s="554"/>
      <c r="CS65" s="554"/>
      <c r="CT65" s="554"/>
      <c r="CU65" s="554"/>
      <c r="CV65" s="554"/>
      <c r="CW65" s="554"/>
      <c r="CX65" s="554"/>
      <c r="CY65" s="554"/>
      <c r="CZ65" s="554"/>
      <c r="DA65" s="554"/>
      <c r="DB65" s="554"/>
      <c r="DC65" s="554"/>
      <c r="DD65" s="554"/>
      <c r="DE65" s="534"/>
      <c r="DF65" s="534"/>
      <c r="DG65" s="534"/>
    </row>
    <row r="66" spans="1:111" ht="15" hidden="1" x14ac:dyDescent="0.25">
      <c r="A66" s="549" t="str">
        <f>IF(Control!$D$5="N","-",1)</f>
        <v>-</v>
      </c>
      <c r="B66" s="555" t="s">
        <v>558</v>
      </c>
      <c r="C66" s="555" t="s">
        <v>559</v>
      </c>
      <c r="D66" s="555" t="s">
        <v>560</v>
      </c>
      <c r="E66" s="556" t="s">
        <v>22</v>
      </c>
      <c r="F66" s="556" t="s">
        <v>22</v>
      </c>
      <c r="G66" s="556" t="str">
        <f>IFERROR(IF(MID('Load Criteria'!X66,FIND("_",'Load Criteria'!X66,1)+1,1)=LEFT(Control!$D$23,1),"YES","-"),"-")</f>
        <v>YES</v>
      </c>
      <c r="H66" s="549" t="str">
        <f>IF(INDEX('Weather Cases'!$G$10:$G$94,MATCH('Load Criteria'!X66,'Weather Cases'!$H$10:$H$94,0),1)="H","YES","")</f>
        <v>YES</v>
      </c>
      <c r="I66" s="557" t="s">
        <v>309</v>
      </c>
      <c r="J66" s="550">
        <f t="shared" si="13"/>
        <v>10</v>
      </c>
      <c r="K66" s="550" t="s">
        <v>88</v>
      </c>
      <c r="L66" s="253" t="s">
        <v>300</v>
      </c>
      <c r="M66" s="253"/>
      <c r="N66" s="253"/>
      <c r="O66" s="253"/>
      <c r="P66" s="394"/>
      <c r="Q66" s="394"/>
      <c r="R66" s="394"/>
      <c r="S66" s="394"/>
      <c r="T66" s="394"/>
      <c r="U66" s="550" t="s">
        <v>247</v>
      </c>
      <c r="V66" s="551" t="s">
        <v>300</v>
      </c>
      <c r="W66" s="542" t="str">
        <f t="shared" si="6"/>
        <v>MT0010_A8+E Max</v>
      </c>
      <c r="X66" s="552" t="str">
        <f>I66&amp;TEXT(J66,"0000")&amp;"_"&amp;LEFT(Control!$D$23,1)&amp;LEFT(Control!$D$22,LEN(Control!$D$22)-2)</f>
        <v>MT0010_A8</v>
      </c>
      <c r="Y66" s="552" t="s">
        <v>433</v>
      </c>
      <c r="Z66" s="552" t="str">
        <f t="shared" si="8"/>
        <v>Max</v>
      </c>
      <c r="AA66" s="552" t="str">
        <f t="shared" si="12"/>
        <v/>
      </c>
      <c r="AB66" s="552">
        <v>1</v>
      </c>
      <c r="AC66" s="552">
        <v>1</v>
      </c>
      <c r="AD66" s="552">
        <v>1</v>
      </c>
      <c r="AE66" s="552">
        <v>1</v>
      </c>
      <c r="AF66" s="552">
        <v>1</v>
      </c>
      <c r="AG66" s="542" t="s">
        <v>561</v>
      </c>
      <c r="AH66" s="552">
        <v>0</v>
      </c>
      <c r="AI66" s="552">
        <v>0</v>
      </c>
      <c r="AJ66" s="552">
        <v>1</v>
      </c>
      <c r="AK66" s="552">
        <v>1</v>
      </c>
      <c r="AL66" s="552">
        <v>1</v>
      </c>
      <c r="AM66" s="552">
        <v>0</v>
      </c>
      <c r="AN66" s="552">
        <v>0</v>
      </c>
      <c r="AO66" s="552">
        <v>1</v>
      </c>
      <c r="AP66" s="552">
        <v>1</v>
      </c>
      <c r="AQ66" s="552">
        <v>1</v>
      </c>
      <c r="AR66" s="552">
        <v>1</v>
      </c>
      <c r="AS66" s="552">
        <v>1</v>
      </c>
      <c r="AT66" s="552">
        <v>1</v>
      </c>
      <c r="AU66" s="552"/>
      <c r="AV66" s="553" t="str">
        <f>IF(H66="YES","'"&amp;INDEX('Structure Groups'!$C$12:$C$14,MATCH('Load Criteria'!$B$5,'Structure Groups'!$B$12:$B$14,0),1)&amp;"'","'All'")</f>
        <v>'GL Max 800m'</v>
      </c>
      <c r="AW66" s="552" t="s">
        <v>562</v>
      </c>
      <c r="AX66" s="552"/>
      <c r="AY66" s="552" t="str">
        <f t="shared" si="10"/>
        <v>No</v>
      </c>
      <c r="AZ66" s="554" t="str">
        <f t="shared" si="11"/>
        <v/>
      </c>
      <c r="BA66" s="554" t="str">
        <f t="shared" si="4"/>
        <v/>
      </c>
      <c r="BB66" s="552" t="str">
        <f t="shared" si="5"/>
        <v/>
      </c>
      <c r="BC66" s="554"/>
      <c r="BD66" s="552"/>
      <c r="BE66" s="554"/>
      <c r="BF66" s="554"/>
      <c r="BG66" s="554"/>
      <c r="BH66" s="554"/>
      <c r="BI66" s="554"/>
      <c r="BJ66" s="554"/>
      <c r="BK66" s="554"/>
      <c r="BL66" s="554"/>
      <c r="BM66" s="554"/>
      <c r="BN66" s="554"/>
      <c r="BO66" s="554"/>
      <c r="BP66" s="554"/>
      <c r="BQ66" s="554"/>
      <c r="BR66" s="554"/>
      <c r="BS66" s="554"/>
      <c r="BT66" s="554"/>
      <c r="BU66" s="554"/>
      <c r="BV66" s="554"/>
      <c r="BW66" s="554"/>
      <c r="BX66" s="554"/>
      <c r="BY66" s="554"/>
      <c r="BZ66" s="554"/>
      <c r="CA66" s="554"/>
      <c r="CB66" s="554"/>
      <c r="CC66" s="554"/>
      <c r="CD66" s="554"/>
      <c r="CE66" s="554"/>
      <c r="CF66" s="554"/>
      <c r="CG66" s="554"/>
      <c r="CH66" s="554"/>
      <c r="CI66" s="554"/>
      <c r="CJ66" s="554"/>
      <c r="CK66" s="554"/>
      <c r="CL66" s="554"/>
      <c r="CM66" s="554"/>
      <c r="CN66" s="554"/>
      <c r="CO66" s="554"/>
      <c r="CP66" s="554"/>
      <c r="CQ66" s="554"/>
      <c r="CR66" s="554"/>
      <c r="CS66" s="554"/>
      <c r="CT66" s="554"/>
      <c r="CU66" s="554"/>
      <c r="CV66" s="554"/>
      <c r="CW66" s="554"/>
      <c r="CX66" s="554"/>
      <c r="CY66" s="554"/>
      <c r="CZ66" s="554"/>
      <c r="DA66" s="554"/>
      <c r="DB66" s="554"/>
      <c r="DC66" s="554"/>
      <c r="DD66" s="554"/>
      <c r="DE66" s="534"/>
      <c r="DF66" s="534"/>
      <c r="DG66" s="534"/>
    </row>
    <row r="67" spans="1:111" ht="15" hidden="1" x14ac:dyDescent="0.25">
      <c r="A67" s="549" t="str">
        <f>IF(Control!$D$5="N","-",1)</f>
        <v>-</v>
      </c>
      <c r="B67" s="555" t="s">
        <v>558</v>
      </c>
      <c r="C67" s="555" t="s">
        <v>559</v>
      </c>
      <c r="D67" s="555" t="s">
        <v>560</v>
      </c>
      <c r="E67" s="556" t="s">
        <v>22</v>
      </c>
      <c r="F67" s="556" t="s">
        <v>22</v>
      </c>
      <c r="G67" s="556" t="str">
        <f>IFERROR(IF(MID('Load Criteria'!X67,FIND("_",'Load Criteria'!X67,1)+1,1)=LEFT(Control!$D$23,1),"YES","-"),"-")</f>
        <v>YES</v>
      </c>
      <c r="H67" s="549" t="str">
        <f>IF(INDEX('Weather Cases'!$G$10:$G$94,MATCH('Load Criteria'!X67,'Weather Cases'!$H$10:$H$94,0),1)="H","YES","")</f>
        <v>YES</v>
      </c>
      <c r="I67" s="557" t="s">
        <v>309</v>
      </c>
      <c r="J67" s="550">
        <f t="shared" si="13"/>
        <v>4</v>
      </c>
      <c r="K67" s="550" t="s">
        <v>88</v>
      </c>
      <c r="L67" s="253" t="s">
        <v>300</v>
      </c>
      <c r="M67" s="253"/>
      <c r="N67" s="253"/>
      <c r="O67" s="253"/>
      <c r="P67" s="394"/>
      <c r="Q67" s="394"/>
      <c r="R67" s="394"/>
      <c r="S67" s="394"/>
      <c r="T67" s="394"/>
      <c r="U67" s="550" t="s">
        <v>247</v>
      </c>
      <c r="V67" s="551" t="s">
        <v>300</v>
      </c>
      <c r="W67" s="542" t="str">
        <f t="shared" si="6"/>
        <v>MT0004_A8+E Max</v>
      </c>
      <c r="X67" s="552" t="str">
        <f>I67&amp;TEXT(J67,"0000")&amp;"_"&amp;LEFT(Control!$D$23,1)&amp;LEFT(Control!$D$22,LEN(Control!$D$22)-2)</f>
        <v>MT0004_A8</v>
      </c>
      <c r="Y67" s="552" t="s">
        <v>433</v>
      </c>
      <c r="Z67" s="552" t="str">
        <f t="shared" si="8"/>
        <v>Max</v>
      </c>
      <c r="AA67" s="552" t="str">
        <f t="shared" si="12"/>
        <v/>
      </c>
      <c r="AB67" s="552">
        <v>1</v>
      </c>
      <c r="AC67" s="552">
        <v>1</v>
      </c>
      <c r="AD67" s="552">
        <v>1</v>
      </c>
      <c r="AE67" s="552">
        <v>1</v>
      </c>
      <c r="AF67" s="552">
        <v>1</v>
      </c>
      <c r="AG67" s="542" t="s">
        <v>561</v>
      </c>
      <c r="AH67" s="552">
        <v>0</v>
      </c>
      <c r="AI67" s="552">
        <v>0</v>
      </c>
      <c r="AJ67" s="552">
        <v>1</v>
      </c>
      <c r="AK67" s="552">
        <v>1</v>
      </c>
      <c r="AL67" s="552">
        <v>1</v>
      </c>
      <c r="AM67" s="552">
        <v>0</v>
      </c>
      <c r="AN67" s="552">
        <v>0</v>
      </c>
      <c r="AO67" s="552">
        <v>1</v>
      </c>
      <c r="AP67" s="552">
        <v>1</v>
      </c>
      <c r="AQ67" s="552">
        <v>1</v>
      </c>
      <c r="AR67" s="552">
        <v>1</v>
      </c>
      <c r="AS67" s="552">
        <v>1</v>
      </c>
      <c r="AT67" s="552">
        <v>1</v>
      </c>
      <c r="AU67" s="552"/>
      <c r="AV67" s="553" t="str">
        <f>IF(H67="YES","'"&amp;INDEX('Structure Groups'!$C$12:$C$14,MATCH('Load Criteria'!$B$5,'Structure Groups'!$B$12:$B$14,0),1)&amp;"'","'All'")</f>
        <v>'GL Max 800m'</v>
      </c>
      <c r="AW67" s="552" t="s">
        <v>562</v>
      </c>
      <c r="AX67" s="552"/>
      <c r="AY67" s="552" t="str">
        <f t="shared" si="10"/>
        <v>No</v>
      </c>
      <c r="AZ67" s="554" t="str">
        <f t="shared" si="11"/>
        <v/>
      </c>
      <c r="BA67" s="554" t="str">
        <f t="shared" si="4"/>
        <v/>
      </c>
      <c r="BB67" s="552" t="str">
        <f t="shared" si="5"/>
        <v/>
      </c>
      <c r="BC67" s="554"/>
      <c r="BD67" s="552"/>
      <c r="BE67" s="554"/>
      <c r="BF67" s="554"/>
      <c r="BG67" s="554"/>
      <c r="BH67" s="554"/>
      <c r="BI67" s="554"/>
      <c r="BJ67" s="554"/>
      <c r="BK67" s="554"/>
      <c r="BL67" s="554"/>
      <c r="BM67" s="554"/>
      <c r="BN67" s="554"/>
      <c r="BO67" s="554"/>
      <c r="BP67" s="554"/>
      <c r="BQ67" s="554"/>
      <c r="BR67" s="554"/>
      <c r="BS67" s="554"/>
      <c r="BT67" s="554"/>
      <c r="BU67" s="554"/>
      <c r="BV67" s="554"/>
      <c r="BW67" s="554"/>
      <c r="BX67" s="554"/>
      <c r="BY67" s="554"/>
      <c r="BZ67" s="554"/>
      <c r="CA67" s="554"/>
      <c r="CB67" s="554"/>
      <c r="CC67" s="554"/>
      <c r="CD67" s="554"/>
      <c r="CE67" s="554"/>
      <c r="CF67" s="554"/>
      <c r="CG67" s="554"/>
      <c r="CH67" s="554"/>
      <c r="CI67" s="554"/>
      <c r="CJ67" s="554"/>
      <c r="CK67" s="554"/>
      <c r="CL67" s="554"/>
      <c r="CM67" s="554"/>
      <c r="CN67" s="554"/>
      <c r="CO67" s="554"/>
      <c r="CP67" s="554"/>
      <c r="CQ67" s="554"/>
      <c r="CR67" s="554"/>
      <c r="CS67" s="554"/>
      <c r="CT67" s="554"/>
      <c r="CU67" s="554"/>
      <c r="CV67" s="554"/>
      <c r="CW67" s="554"/>
      <c r="CX67" s="554"/>
      <c r="CY67" s="554"/>
      <c r="CZ67" s="554"/>
      <c r="DA67" s="554"/>
      <c r="DB67" s="554"/>
      <c r="DC67" s="554"/>
      <c r="DD67" s="554"/>
      <c r="DE67" s="534"/>
      <c r="DF67" s="534"/>
      <c r="DG67" s="534"/>
    </row>
    <row r="68" spans="1:111" ht="15" hidden="1" x14ac:dyDescent="0.25">
      <c r="A68" s="549" t="str">
        <f>IF(Control!$D$5="N","-",1)</f>
        <v>-</v>
      </c>
      <c r="B68" s="555" t="s">
        <v>558</v>
      </c>
      <c r="C68" s="555" t="s">
        <v>559</v>
      </c>
      <c r="D68" s="555" t="s">
        <v>560</v>
      </c>
      <c r="E68" s="556" t="s">
        <v>22</v>
      </c>
      <c r="F68" s="556" t="s">
        <v>22</v>
      </c>
      <c r="G68" s="556" t="str">
        <f>IFERROR(IF(MID('Load Criteria'!X68,FIND("_",'Load Criteria'!X68,1)+1,1)=LEFT(Control!$D$23,1),"YES","-"),"-")</f>
        <v>YES</v>
      </c>
      <c r="H68" s="549" t="str">
        <f>IF(INDEX('Weather Cases'!$G$10:$G$94,MATCH('Load Criteria'!X68,'Weather Cases'!$H$10:$H$94,0),1)="H","YES","")</f>
        <v>YES</v>
      </c>
      <c r="I68" s="557" t="s">
        <v>309</v>
      </c>
      <c r="J68" s="550">
        <f t="shared" si="13"/>
        <v>2</v>
      </c>
      <c r="K68" s="550" t="s">
        <v>88</v>
      </c>
      <c r="L68" s="253" t="s">
        <v>300</v>
      </c>
      <c r="M68" s="253"/>
      <c r="N68" s="253"/>
      <c r="O68" s="253"/>
      <c r="P68" s="394"/>
      <c r="Q68" s="394"/>
      <c r="R68" s="394"/>
      <c r="S68" s="394"/>
      <c r="T68" s="394"/>
      <c r="U68" s="550" t="s">
        <v>247</v>
      </c>
      <c r="V68" s="551" t="s">
        <v>300</v>
      </c>
      <c r="W68" s="542" t="str">
        <f t="shared" si="6"/>
        <v>MT0002_A8+E Max</v>
      </c>
      <c r="X68" s="552" t="str">
        <f>I68&amp;TEXT(J68,"0000")&amp;"_"&amp;LEFT(Control!$D$23,1)&amp;LEFT(Control!$D$22,LEN(Control!$D$22)-2)</f>
        <v>MT0002_A8</v>
      </c>
      <c r="Y68" s="552" t="s">
        <v>433</v>
      </c>
      <c r="Z68" s="552" t="str">
        <f t="shared" si="8"/>
        <v>Max</v>
      </c>
      <c r="AA68" s="552" t="str">
        <f t="shared" si="12"/>
        <v/>
      </c>
      <c r="AB68" s="552">
        <v>1</v>
      </c>
      <c r="AC68" s="552">
        <v>1</v>
      </c>
      <c r="AD68" s="552">
        <v>1</v>
      </c>
      <c r="AE68" s="552">
        <v>1</v>
      </c>
      <c r="AF68" s="552">
        <v>1</v>
      </c>
      <c r="AG68" s="542" t="s">
        <v>561</v>
      </c>
      <c r="AH68" s="552">
        <v>0</v>
      </c>
      <c r="AI68" s="552">
        <v>0</v>
      </c>
      <c r="AJ68" s="552">
        <v>1</v>
      </c>
      <c r="AK68" s="552">
        <v>1</v>
      </c>
      <c r="AL68" s="552">
        <v>1</v>
      </c>
      <c r="AM68" s="552">
        <v>0</v>
      </c>
      <c r="AN68" s="552">
        <v>0</v>
      </c>
      <c r="AO68" s="552">
        <v>1</v>
      </c>
      <c r="AP68" s="552">
        <v>1</v>
      </c>
      <c r="AQ68" s="552">
        <v>1</v>
      </c>
      <c r="AR68" s="552">
        <v>1</v>
      </c>
      <c r="AS68" s="552">
        <v>1</v>
      </c>
      <c r="AT68" s="552">
        <v>1</v>
      </c>
      <c r="AU68" s="552"/>
      <c r="AV68" s="553" t="str">
        <f>IF(H68="YES","'"&amp;INDEX('Structure Groups'!$C$12:$C$14,MATCH('Load Criteria'!$B$5,'Structure Groups'!$B$12:$B$14,0),1)&amp;"'","'All'")</f>
        <v>'GL Max 800m'</v>
      </c>
      <c r="AW68" s="552" t="s">
        <v>562</v>
      </c>
      <c r="AX68" s="552"/>
      <c r="AY68" s="552" t="str">
        <f t="shared" si="10"/>
        <v>No</v>
      </c>
      <c r="AZ68" s="554" t="str">
        <f t="shared" si="11"/>
        <v/>
      </c>
      <c r="BA68" s="554" t="str">
        <f t="shared" si="4"/>
        <v/>
      </c>
      <c r="BB68" s="552" t="str">
        <f t="shared" si="5"/>
        <v/>
      </c>
      <c r="BC68" s="554"/>
      <c r="BD68" s="552"/>
      <c r="BE68" s="554"/>
      <c r="BF68" s="554"/>
      <c r="BG68" s="554"/>
      <c r="BH68" s="554"/>
      <c r="BI68" s="554"/>
      <c r="BJ68" s="554"/>
      <c r="BK68" s="554"/>
      <c r="BL68" s="554"/>
      <c r="BM68" s="554"/>
      <c r="BN68" s="554"/>
      <c r="BO68" s="554"/>
      <c r="BP68" s="554"/>
      <c r="BQ68" s="554"/>
      <c r="BR68" s="554"/>
      <c r="BS68" s="554"/>
      <c r="BT68" s="554"/>
      <c r="BU68" s="554"/>
      <c r="BV68" s="554"/>
      <c r="BW68" s="554"/>
      <c r="BX68" s="554"/>
      <c r="BY68" s="554"/>
      <c r="BZ68" s="554"/>
      <c r="CA68" s="554"/>
      <c r="CB68" s="554"/>
      <c r="CC68" s="554"/>
      <c r="CD68" s="554"/>
      <c r="CE68" s="554"/>
      <c r="CF68" s="554"/>
      <c r="CG68" s="554"/>
      <c r="CH68" s="554"/>
      <c r="CI68" s="554"/>
      <c r="CJ68" s="554"/>
      <c r="CK68" s="554"/>
      <c r="CL68" s="554"/>
      <c r="CM68" s="554"/>
      <c r="CN68" s="554"/>
      <c r="CO68" s="554"/>
      <c r="CP68" s="554"/>
      <c r="CQ68" s="554"/>
      <c r="CR68" s="554"/>
      <c r="CS68" s="554"/>
      <c r="CT68" s="554"/>
      <c r="CU68" s="554"/>
      <c r="CV68" s="554"/>
      <c r="CW68" s="554"/>
      <c r="CX68" s="554"/>
      <c r="CY68" s="554"/>
      <c r="CZ68" s="554"/>
      <c r="DA68" s="554"/>
      <c r="DB68" s="554"/>
      <c r="DC68" s="554"/>
      <c r="DD68" s="554"/>
      <c r="DE68" s="534"/>
      <c r="DF68" s="534"/>
      <c r="DG68" s="534"/>
    </row>
    <row r="69" spans="1:111" ht="15" x14ac:dyDescent="0.25">
      <c r="A69" s="549">
        <f>IF(Control!$D$5="Y","-",1)</f>
        <v>1</v>
      </c>
      <c r="B69" s="555" t="s">
        <v>558</v>
      </c>
      <c r="C69" s="555" t="s">
        <v>559</v>
      </c>
      <c r="D69" s="555" t="s">
        <v>563</v>
      </c>
      <c r="E69" s="556" t="s">
        <v>22</v>
      </c>
      <c r="F69" s="556" t="s">
        <v>22</v>
      </c>
      <c r="G69" s="556" t="str">
        <f>IFERROR(IF(MID('Load Criteria'!X69,FIND("_",'Load Criteria'!X69,1)+1,1)=LEFT(Control!$D$23,1),"YES","-"),"-")</f>
        <v>YES</v>
      </c>
      <c r="H69" s="549" t="str">
        <f>IF(INDEX('Weather Cases'!$G$10:$G$94,MATCH('Load Criteria'!X69,'Weather Cases'!$H$10:$H$94,0),1)="H","YES","")</f>
        <v>YES</v>
      </c>
      <c r="I69" s="557" t="s">
        <v>299</v>
      </c>
      <c r="J69" s="550">
        <f t="shared" ref="J69:J100" si="14">Selected_Line_Reliability</f>
        <v>300</v>
      </c>
      <c r="K69" s="550" t="s">
        <v>88</v>
      </c>
      <c r="L69" s="252"/>
      <c r="M69" s="252"/>
      <c r="N69" s="252"/>
      <c r="O69" s="252"/>
      <c r="P69" s="393"/>
      <c r="Q69" s="393"/>
      <c r="R69" s="393"/>
      <c r="S69" s="393"/>
      <c r="T69" s="393"/>
      <c r="U69" s="550" t="s">
        <v>564</v>
      </c>
      <c r="V69" s="551">
        <v>90</v>
      </c>
      <c r="W69" s="542" t="str">
        <f>X69&amp;"+"&amp;K69&amp;IF(L69="","",CONCATENATE(L69,M69,N69,O69))&amp;" "&amp;U69&amp;TEXT(V69,"+00;-00")</f>
        <v>MW0300_A8+E BI++90</v>
      </c>
      <c r="X69" s="552" t="str">
        <f>I69&amp;TEXT(J69,"0000")&amp;"_"&amp;LEFT(Control!$D$23,1)&amp;LEFT(Control!$D$22,LEN(Control!$D$22)-2)</f>
        <v>MW0300_A8</v>
      </c>
      <c r="Y69" s="552" t="s">
        <v>433</v>
      </c>
      <c r="Z69" s="552" t="str">
        <f t="shared" si="8"/>
        <v>BI+</v>
      </c>
      <c r="AA69" s="552">
        <f t="shared" si="12"/>
        <v>90</v>
      </c>
      <c r="AB69" s="552">
        <v>1</v>
      </c>
      <c r="AC69" s="552">
        <v>1</v>
      </c>
      <c r="AD69" s="552">
        <v>1</v>
      </c>
      <c r="AE69" s="552">
        <v>1</v>
      </c>
      <c r="AF69" s="552">
        <v>1</v>
      </c>
      <c r="AG69" s="542" t="s">
        <v>561</v>
      </c>
      <c r="AH69" s="552">
        <v>0</v>
      </c>
      <c r="AI69" s="552">
        <v>0</v>
      </c>
      <c r="AJ69" s="552">
        <v>1</v>
      </c>
      <c r="AK69" s="552">
        <v>1</v>
      </c>
      <c r="AL69" s="552">
        <v>1</v>
      </c>
      <c r="AM69" s="552">
        <v>0</v>
      </c>
      <c r="AN69" s="552">
        <v>0</v>
      </c>
      <c r="AO69" s="552">
        <v>1</v>
      </c>
      <c r="AP69" s="552">
        <v>1</v>
      </c>
      <c r="AQ69" s="552">
        <v>1</v>
      </c>
      <c r="AR69" s="552">
        <v>1</v>
      </c>
      <c r="AS69" s="552">
        <v>1</v>
      </c>
      <c r="AT69" s="552">
        <v>1</v>
      </c>
      <c r="AU69" s="552">
        <v>1</v>
      </c>
      <c r="AV69" s="553" t="str">
        <f>IF(H69="YES","'"&amp;INDEX('Structure Groups'!$C$12:$C$14,MATCH('Load Criteria'!$B$5,'Structure Groups'!$B$12:$B$14,0),1)&amp;"'","'All'")</f>
        <v>'GL Max 800m'</v>
      </c>
      <c r="AW69" s="552" t="s">
        <v>562</v>
      </c>
      <c r="AX69" s="558" t="s">
        <v>300</v>
      </c>
      <c r="AY69" s="552" t="str">
        <f t="shared" si="10"/>
        <v>No</v>
      </c>
      <c r="AZ69" s="554" t="str">
        <f t="shared" si="11"/>
        <v/>
      </c>
      <c r="BA69" s="554" t="str">
        <f t="shared" si="4"/>
        <v/>
      </c>
      <c r="BB69" s="552" t="str">
        <f t="shared" si="5"/>
        <v/>
      </c>
      <c r="BC69" s="559" t="s">
        <v>300</v>
      </c>
      <c r="BD69" s="559" t="s">
        <v>300</v>
      </c>
      <c r="BE69" s="559" t="s">
        <v>300</v>
      </c>
      <c r="BF69" s="559" t="s">
        <v>300</v>
      </c>
      <c r="BG69" s="559" t="s">
        <v>300</v>
      </c>
      <c r="BH69" s="559" t="s">
        <v>300</v>
      </c>
      <c r="BI69" s="559" t="s">
        <v>300</v>
      </c>
      <c r="BJ69" s="559" t="s">
        <v>300</v>
      </c>
      <c r="BK69" s="559" t="s">
        <v>300</v>
      </c>
      <c r="BL69" s="559" t="s">
        <v>300</v>
      </c>
      <c r="BM69" s="559" t="s">
        <v>300</v>
      </c>
      <c r="BN69" s="559" t="s">
        <v>300</v>
      </c>
      <c r="BO69" s="559" t="s">
        <v>300</v>
      </c>
      <c r="BP69" s="559" t="s">
        <v>300</v>
      </c>
      <c r="BQ69" s="559" t="s">
        <v>300</v>
      </c>
      <c r="BR69" s="559" t="s">
        <v>300</v>
      </c>
      <c r="BS69" s="559" t="s">
        <v>300</v>
      </c>
      <c r="BT69" s="559" t="s">
        <v>300</v>
      </c>
      <c r="BU69" s="559" t="s">
        <v>300</v>
      </c>
      <c r="BV69" s="559" t="s">
        <v>300</v>
      </c>
      <c r="BW69" s="559" t="s">
        <v>300</v>
      </c>
      <c r="BX69" s="559" t="s">
        <v>300</v>
      </c>
      <c r="BY69" s="559" t="s">
        <v>300</v>
      </c>
      <c r="BZ69" s="559" t="s">
        <v>300</v>
      </c>
      <c r="CA69" s="559" t="s">
        <v>300</v>
      </c>
      <c r="CB69" s="559" t="s">
        <v>300</v>
      </c>
      <c r="CC69" s="559" t="s">
        <v>300</v>
      </c>
      <c r="CD69" s="554"/>
      <c r="CE69" s="554"/>
      <c r="CF69" s="554"/>
      <c r="CG69" s="554"/>
      <c r="CH69" s="554"/>
      <c r="CI69" s="554"/>
      <c r="CJ69" s="554"/>
      <c r="CK69" s="554"/>
      <c r="CL69" s="554"/>
      <c r="CM69" s="554"/>
      <c r="CN69" s="554"/>
      <c r="CO69" s="554"/>
      <c r="CP69" s="554"/>
      <c r="CQ69" s="554"/>
      <c r="CR69" s="554"/>
      <c r="CS69" s="554"/>
      <c r="CT69" s="554"/>
      <c r="CU69" s="554"/>
      <c r="CV69" s="554"/>
      <c r="CW69" s="554"/>
      <c r="CX69" s="554"/>
      <c r="CY69" s="554"/>
      <c r="CZ69" s="554"/>
      <c r="DA69" s="554"/>
      <c r="DB69" s="554"/>
      <c r="DC69" s="554"/>
      <c r="DD69" s="554"/>
      <c r="DE69" s="534"/>
      <c r="DF69" s="534"/>
      <c r="DG69" s="534"/>
    </row>
    <row r="70" spans="1:111" ht="15" x14ac:dyDescent="0.25">
      <c r="A70" s="549">
        <f>IF(Control!$D$5="Y","-",1)</f>
        <v>1</v>
      </c>
      <c r="B70" s="555" t="s">
        <v>558</v>
      </c>
      <c r="C70" s="555" t="s">
        <v>559</v>
      </c>
      <c r="D70" s="555" t="s">
        <v>563</v>
      </c>
      <c r="E70" s="556" t="s">
        <v>22</v>
      </c>
      <c r="F70" s="556" t="s">
        <v>22</v>
      </c>
      <c r="G70" s="556" t="str">
        <f>IFERROR(IF(MID('Load Criteria'!X70,FIND("_",'Load Criteria'!X70,1)+1,1)=LEFT(Control!$D$23,1),"YES","-"),"-")</f>
        <v>YES</v>
      </c>
      <c r="H70" s="549" t="str">
        <f>IF(INDEX('Weather Cases'!$G$10:$G$94,MATCH('Load Criteria'!X70,'Weather Cases'!$H$10:$H$94,0),1)="H","YES","")</f>
        <v>YES</v>
      </c>
      <c r="I70" s="557" t="s">
        <v>299</v>
      </c>
      <c r="J70" s="550">
        <f t="shared" si="14"/>
        <v>300</v>
      </c>
      <c r="K70" s="550" t="s">
        <v>88</v>
      </c>
      <c r="L70" s="252"/>
      <c r="M70" s="252"/>
      <c r="N70" s="252"/>
      <c r="O70" s="252"/>
      <c r="P70" s="393"/>
      <c r="Q70" s="393"/>
      <c r="R70" s="393"/>
      <c r="S70" s="393"/>
      <c r="T70" s="393"/>
      <c r="U70" s="550" t="s">
        <v>564</v>
      </c>
      <c r="V70" s="551">
        <v>45</v>
      </c>
      <c r="W70" s="542" t="str">
        <f t="shared" ref="W70:W142" si="15">X70&amp;"+"&amp;K70&amp;IF(L70="","",CONCATENATE(L70,M70,N70,O70))&amp;" "&amp;U70&amp;TEXT(V70,"+00;-00")</f>
        <v>MW0300_A8+E BI++45</v>
      </c>
      <c r="X70" s="552" t="str">
        <f>I70&amp;TEXT(J70,"0000")&amp;"_"&amp;LEFT(Control!$D$23,1)&amp;LEFT(Control!$D$22,LEN(Control!$D$22)-2)</f>
        <v>MW0300_A8</v>
      </c>
      <c r="Y70" s="552" t="s">
        <v>433</v>
      </c>
      <c r="Z70" s="552" t="str">
        <f>U70</f>
        <v>BI+</v>
      </c>
      <c r="AA70" s="552">
        <f>V70</f>
        <v>45</v>
      </c>
      <c r="AB70" s="552">
        <v>1</v>
      </c>
      <c r="AC70" s="552">
        <v>1</v>
      </c>
      <c r="AD70" s="552">
        <v>1</v>
      </c>
      <c r="AE70" s="552">
        <v>1</v>
      </c>
      <c r="AF70" s="552">
        <v>1</v>
      </c>
      <c r="AG70" s="542" t="s">
        <v>561</v>
      </c>
      <c r="AH70" s="552">
        <v>0</v>
      </c>
      <c r="AI70" s="552">
        <v>0</v>
      </c>
      <c r="AJ70" s="552">
        <v>1</v>
      </c>
      <c r="AK70" s="552">
        <v>1</v>
      </c>
      <c r="AL70" s="552">
        <v>1</v>
      </c>
      <c r="AM70" s="552">
        <v>0</v>
      </c>
      <c r="AN70" s="552">
        <v>0</v>
      </c>
      <c r="AO70" s="552">
        <v>1</v>
      </c>
      <c r="AP70" s="552">
        <v>1</v>
      </c>
      <c r="AQ70" s="552">
        <v>1</v>
      </c>
      <c r="AR70" s="552">
        <v>1</v>
      </c>
      <c r="AS70" s="552">
        <v>1</v>
      </c>
      <c r="AT70" s="552">
        <v>1</v>
      </c>
      <c r="AU70" s="552">
        <v>1</v>
      </c>
      <c r="AV70" s="553" t="str">
        <f>IF(H70="YES","'"&amp;INDEX('Structure Groups'!$C$12:$C$14,MATCH('Load Criteria'!$B$5,'Structure Groups'!$B$12:$B$14,0),1)&amp;"'","'All'")</f>
        <v>'GL Max 800m'</v>
      </c>
      <c r="AW70" s="552" t="s">
        <v>562</v>
      </c>
      <c r="AX70" s="552"/>
      <c r="AY70" s="552" t="str">
        <f t="shared" si="10"/>
        <v>No</v>
      </c>
      <c r="AZ70" s="554" t="str">
        <f t="shared" si="11"/>
        <v/>
      </c>
      <c r="BA70" s="554" t="str">
        <f t="shared" si="4"/>
        <v/>
      </c>
      <c r="BB70" s="552" t="str">
        <f t="shared" si="5"/>
        <v/>
      </c>
      <c r="BC70" s="554"/>
      <c r="BD70" s="552"/>
      <c r="BE70" s="554"/>
      <c r="BF70" s="554"/>
      <c r="BG70" s="554"/>
      <c r="BH70" s="554"/>
      <c r="BI70" s="554"/>
      <c r="BJ70" s="554"/>
      <c r="BK70" s="554"/>
      <c r="BL70" s="554"/>
      <c r="BM70" s="554"/>
      <c r="BN70" s="554"/>
      <c r="BO70" s="554"/>
      <c r="BP70" s="554"/>
      <c r="BQ70" s="554"/>
      <c r="BR70" s="554"/>
      <c r="BS70" s="554"/>
      <c r="BT70" s="554"/>
      <c r="BU70" s="554"/>
      <c r="BV70" s="554"/>
      <c r="BW70" s="554"/>
      <c r="BX70" s="554"/>
      <c r="BY70" s="554"/>
      <c r="BZ70" s="554"/>
      <c r="CA70" s="554"/>
      <c r="CB70" s="554"/>
      <c r="CC70" s="554"/>
      <c r="CD70" s="554"/>
      <c r="CE70" s="554"/>
      <c r="CF70" s="554"/>
      <c r="CG70" s="554"/>
      <c r="CH70" s="554"/>
      <c r="CI70" s="554"/>
      <c r="CJ70" s="554"/>
      <c r="CK70" s="554"/>
      <c r="CL70" s="554"/>
      <c r="CM70" s="554"/>
      <c r="CN70" s="554"/>
      <c r="CO70" s="554"/>
      <c r="CP70" s="554"/>
      <c r="CQ70" s="554"/>
      <c r="CR70" s="554"/>
      <c r="CS70" s="554"/>
      <c r="CT70" s="554"/>
      <c r="CU70" s="554"/>
      <c r="CV70" s="554"/>
      <c r="CW70" s="554"/>
      <c r="CX70" s="554"/>
      <c r="CY70" s="554"/>
      <c r="CZ70" s="554"/>
      <c r="DA70" s="554"/>
      <c r="DB70" s="554"/>
      <c r="DC70" s="554"/>
      <c r="DD70" s="554"/>
      <c r="DE70" s="534"/>
      <c r="DF70" s="534"/>
      <c r="DG70" s="534"/>
    </row>
    <row r="71" spans="1:111" ht="15" x14ac:dyDescent="0.25">
      <c r="A71" s="549">
        <f>IF(Control!$D$5="Y","-",1)</f>
        <v>1</v>
      </c>
      <c r="B71" s="555" t="s">
        <v>558</v>
      </c>
      <c r="C71" s="555" t="s">
        <v>559</v>
      </c>
      <c r="D71" s="555" t="s">
        <v>563</v>
      </c>
      <c r="E71" s="556" t="s">
        <v>22</v>
      </c>
      <c r="F71" s="556" t="s">
        <v>22</v>
      </c>
      <c r="G71" s="556" t="str">
        <f>IFERROR(IF(MID('Load Criteria'!X71,FIND("_",'Load Criteria'!X71,1)+1,1)=LEFT(Control!$D$23,1),"YES","-"),"-")</f>
        <v>YES</v>
      </c>
      <c r="H71" s="549" t="str">
        <f>IF(INDEX('Weather Cases'!$G$10:$G$94,MATCH('Load Criteria'!X71,'Weather Cases'!$H$10:$H$94,0),1)="H","YES","")</f>
        <v>YES</v>
      </c>
      <c r="I71" s="557" t="s">
        <v>299</v>
      </c>
      <c r="J71" s="550">
        <f t="shared" si="14"/>
        <v>300</v>
      </c>
      <c r="K71" s="550" t="s">
        <v>88</v>
      </c>
      <c r="L71" s="252"/>
      <c r="M71" s="252"/>
      <c r="N71" s="252"/>
      <c r="O71" s="252"/>
      <c r="P71" s="393"/>
      <c r="Q71" s="393"/>
      <c r="R71" s="393"/>
      <c r="S71" s="393"/>
      <c r="T71" s="393"/>
      <c r="U71" s="550" t="s">
        <v>564</v>
      </c>
      <c r="V71" s="551">
        <v>30</v>
      </c>
      <c r="W71" s="542" t="str">
        <f t="shared" si="15"/>
        <v>MW0300_A8+E BI++30</v>
      </c>
      <c r="X71" s="552" t="str">
        <f>I71&amp;TEXT(J71,"0000")&amp;"_"&amp;LEFT(Control!$D$23,1)&amp;LEFT(Control!$D$22,LEN(Control!$D$22)-2)</f>
        <v>MW0300_A8</v>
      </c>
      <c r="Y71" s="552" t="s">
        <v>433</v>
      </c>
      <c r="Z71" s="552" t="str">
        <f t="shared" ref="Z71:Z77" si="16">U71</f>
        <v>BI+</v>
      </c>
      <c r="AA71" s="552">
        <f t="shared" ref="AA71:AA77" si="17">V71</f>
        <v>30</v>
      </c>
      <c r="AB71" s="552">
        <v>1</v>
      </c>
      <c r="AC71" s="552">
        <v>1</v>
      </c>
      <c r="AD71" s="552">
        <v>1</v>
      </c>
      <c r="AE71" s="552">
        <v>1</v>
      </c>
      <c r="AF71" s="552">
        <v>1</v>
      </c>
      <c r="AG71" s="542" t="s">
        <v>561</v>
      </c>
      <c r="AH71" s="552">
        <v>0</v>
      </c>
      <c r="AI71" s="552">
        <v>0</v>
      </c>
      <c r="AJ71" s="552">
        <v>1</v>
      </c>
      <c r="AK71" s="552">
        <v>1</v>
      </c>
      <c r="AL71" s="552">
        <v>1</v>
      </c>
      <c r="AM71" s="552">
        <v>0</v>
      </c>
      <c r="AN71" s="552">
        <v>0</v>
      </c>
      <c r="AO71" s="552">
        <v>1</v>
      </c>
      <c r="AP71" s="552">
        <v>1</v>
      </c>
      <c r="AQ71" s="552">
        <v>1</v>
      </c>
      <c r="AR71" s="552">
        <v>1</v>
      </c>
      <c r="AS71" s="552">
        <v>1</v>
      </c>
      <c r="AT71" s="552">
        <v>1</v>
      </c>
      <c r="AU71" s="552">
        <v>1</v>
      </c>
      <c r="AV71" s="553" t="str">
        <f>IF(H71="YES","'"&amp;INDEX('Structure Groups'!$C$12:$C$14,MATCH('Load Criteria'!$B$5,'Structure Groups'!$B$12:$B$14,0),1)&amp;"'","'All'")</f>
        <v>'GL Max 800m'</v>
      </c>
      <c r="AW71" s="552" t="s">
        <v>562</v>
      </c>
      <c r="AX71" s="552"/>
      <c r="AY71" s="552" t="str">
        <f t="shared" si="10"/>
        <v>No</v>
      </c>
      <c r="AZ71" s="554" t="str">
        <f t="shared" si="11"/>
        <v/>
      </c>
      <c r="BA71" s="554" t="str">
        <f t="shared" si="4"/>
        <v/>
      </c>
      <c r="BB71" s="552" t="str">
        <f t="shared" si="5"/>
        <v/>
      </c>
      <c r="BC71" s="554"/>
      <c r="BD71" s="552"/>
      <c r="BE71" s="554"/>
      <c r="BF71" s="554"/>
      <c r="BG71" s="554"/>
      <c r="BH71" s="554"/>
      <c r="BI71" s="554"/>
      <c r="BJ71" s="554"/>
      <c r="BK71" s="554"/>
      <c r="BL71" s="554"/>
      <c r="BM71" s="554"/>
      <c r="BN71" s="554"/>
      <c r="BO71" s="554"/>
      <c r="BP71" s="554"/>
      <c r="BQ71" s="554"/>
      <c r="BR71" s="554"/>
      <c r="BS71" s="554"/>
      <c r="BT71" s="554"/>
      <c r="BU71" s="554"/>
      <c r="BV71" s="554"/>
      <c r="BW71" s="554"/>
      <c r="BX71" s="554"/>
      <c r="BY71" s="554"/>
      <c r="BZ71" s="554"/>
      <c r="CA71" s="554"/>
      <c r="CB71" s="554"/>
      <c r="CC71" s="554"/>
      <c r="CD71" s="554"/>
      <c r="CE71" s="554"/>
      <c r="CF71" s="554"/>
      <c r="CG71" s="554"/>
      <c r="CH71" s="554"/>
      <c r="CI71" s="554"/>
      <c r="CJ71" s="554"/>
      <c r="CK71" s="554"/>
      <c r="CL71" s="554"/>
      <c r="CM71" s="554"/>
      <c r="CN71" s="554"/>
      <c r="CO71" s="554"/>
      <c r="CP71" s="554"/>
      <c r="CQ71" s="554"/>
      <c r="CR71" s="554"/>
      <c r="CS71" s="554"/>
      <c r="CT71" s="554"/>
      <c r="CU71" s="554"/>
      <c r="CV71" s="554"/>
      <c r="CW71" s="554"/>
      <c r="CX71" s="554"/>
      <c r="CY71" s="554"/>
      <c r="CZ71" s="554"/>
      <c r="DA71" s="554"/>
      <c r="DB71" s="554"/>
      <c r="DC71" s="554"/>
      <c r="DD71" s="554"/>
      <c r="DE71" s="534"/>
      <c r="DF71" s="534"/>
      <c r="DG71" s="534"/>
    </row>
    <row r="72" spans="1:111" ht="15" x14ac:dyDescent="0.25">
      <c r="A72" s="549">
        <f>IF(Control!$D$5="Y","-",1)</f>
        <v>1</v>
      </c>
      <c r="B72" s="555" t="s">
        <v>558</v>
      </c>
      <c r="C72" s="555" t="s">
        <v>559</v>
      </c>
      <c r="D72" s="555" t="s">
        <v>563</v>
      </c>
      <c r="E72" s="556" t="s">
        <v>22</v>
      </c>
      <c r="F72" s="556" t="s">
        <v>22</v>
      </c>
      <c r="G72" s="556" t="str">
        <f>IFERROR(IF(MID('Load Criteria'!X72,FIND("_",'Load Criteria'!X72,1)+1,1)=LEFT(Control!$D$23,1),"YES","-"),"-")</f>
        <v>YES</v>
      </c>
      <c r="H72" s="549" t="str">
        <f>IF(INDEX('Weather Cases'!$G$10:$G$94,MATCH('Load Criteria'!X72,'Weather Cases'!$H$10:$H$94,0),1)="H","YES","")</f>
        <v>YES</v>
      </c>
      <c r="I72" s="557" t="s">
        <v>299</v>
      </c>
      <c r="J72" s="550">
        <f t="shared" si="14"/>
        <v>300</v>
      </c>
      <c r="K72" s="550" t="s">
        <v>88</v>
      </c>
      <c r="L72" s="252"/>
      <c r="M72" s="252"/>
      <c r="N72" s="252"/>
      <c r="O72" s="252"/>
      <c r="P72" s="393"/>
      <c r="Q72" s="393"/>
      <c r="R72" s="393"/>
      <c r="S72" s="393"/>
      <c r="T72" s="393"/>
      <c r="U72" s="550" t="s">
        <v>564</v>
      </c>
      <c r="V72" s="551">
        <v>15</v>
      </c>
      <c r="W72" s="542" t="str">
        <f t="shared" si="15"/>
        <v>MW0300_A8+E BI++15</v>
      </c>
      <c r="X72" s="552" t="str">
        <f>I72&amp;TEXT(J72,"0000")&amp;"_"&amp;LEFT(Control!$D$23,1)&amp;LEFT(Control!$D$22,LEN(Control!$D$22)-2)</f>
        <v>MW0300_A8</v>
      </c>
      <c r="Y72" s="552" t="s">
        <v>433</v>
      </c>
      <c r="Z72" s="552" t="str">
        <f t="shared" si="16"/>
        <v>BI+</v>
      </c>
      <c r="AA72" s="552">
        <f t="shared" si="17"/>
        <v>15</v>
      </c>
      <c r="AB72" s="552">
        <v>1</v>
      </c>
      <c r="AC72" s="552">
        <v>1</v>
      </c>
      <c r="AD72" s="552">
        <v>1</v>
      </c>
      <c r="AE72" s="552">
        <v>1</v>
      </c>
      <c r="AF72" s="552">
        <v>1</v>
      </c>
      <c r="AG72" s="542" t="s">
        <v>561</v>
      </c>
      <c r="AH72" s="552">
        <v>0</v>
      </c>
      <c r="AI72" s="552">
        <v>0</v>
      </c>
      <c r="AJ72" s="552">
        <v>1</v>
      </c>
      <c r="AK72" s="552">
        <v>1</v>
      </c>
      <c r="AL72" s="552">
        <v>1</v>
      </c>
      <c r="AM72" s="552">
        <v>0</v>
      </c>
      <c r="AN72" s="552">
        <v>0</v>
      </c>
      <c r="AO72" s="552">
        <v>1</v>
      </c>
      <c r="AP72" s="552">
        <v>1</v>
      </c>
      <c r="AQ72" s="552">
        <v>1</v>
      </c>
      <c r="AR72" s="552">
        <v>1</v>
      </c>
      <c r="AS72" s="552">
        <v>1</v>
      </c>
      <c r="AT72" s="552">
        <v>1</v>
      </c>
      <c r="AU72" s="552">
        <v>1</v>
      </c>
      <c r="AV72" s="553" t="str">
        <f>IF(H72="YES","'"&amp;INDEX('Structure Groups'!$C$12:$C$14,MATCH('Load Criteria'!$B$5,'Structure Groups'!$B$12:$B$14,0),1)&amp;"'","'All'")</f>
        <v>'GL Max 800m'</v>
      </c>
      <c r="AW72" s="552" t="s">
        <v>562</v>
      </c>
      <c r="AX72" s="552"/>
      <c r="AY72" s="552" t="str">
        <f t="shared" si="10"/>
        <v>No</v>
      </c>
      <c r="AZ72" s="554" t="str">
        <f t="shared" si="11"/>
        <v/>
      </c>
      <c r="BA72" s="554" t="str">
        <f t="shared" si="4"/>
        <v/>
      </c>
      <c r="BB72" s="552" t="str">
        <f t="shared" si="5"/>
        <v/>
      </c>
      <c r="BC72" s="554"/>
      <c r="BD72" s="552"/>
      <c r="BE72" s="554"/>
      <c r="BF72" s="554"/>
      <c r="BG72" s="554"/>
      <c r="BH72" s="554"/>
      <c r="BI72" s="554"/>
      <c r="BJ72" s="554"/>
      <c r="BK72" s="554"/>
      <c r="BL72" s="554"/>
      <c r="BM72" s="554"/>
      <c r="BN72" s="554"/>
      <c r="BO72" s="554"/>
      <c r="BP72" s="554"/>
      <c r="BQ72" s="554"/>
      <c r="BR72" s="554"/>
      <c r="BS72" s="554"/>
      <c r="BT72" s="554"/>
      <c r="BU72" s="554"/>
      <c r="BV72" s="554"/>
      <c r="BW72" s="554"/>
      <c r="BX72" s="554"/>
      <c r="BY72" s="554"/>
      <c r="BZ72" s="554"/>
      <c r="CA72" s="554"/>
      <c r="CB72" s="554"/>
      <c r="CC72" s="554"/>
      <c r="CD72" s="554"/>
      <c r="CE72" s="554"/>
      <c r="CF72" s="554"/>
      <c r="CG72" s="554"/>
      <c r="CH72" s="554"/>
      <c r="CI72" s="554"/>
      <c r="CJ72" s="554"/>
      <c r="CK72" s="554"/>
      <c r="CL72" s="554"/>
      <c r="CM72" s="554"/>
      <c r="CN72" s="554"/>
      <c r="CO72" s="554"/>
      <c r="CP72" s="554"/>
      <c r="CQ72" s="554"/>
      <c r="CR72" s="554"/>
      <c r="CS72" s="554"/>
      <c r="CT72" s="554"/>
      <c r="CU72" s="554"/>
      <c r="CV72" s="554"/>
      <c r="CW72" s="554"/>
      <c r="CX72" s="554"/>
      <c r="CY72" s="554"/>
      <c r="CZ72" s="554"/>
      <c r="DA72" s="554"/>
      <c r="DB72" s="554"/>
      <c r="DC72" s="554"/>
      <c r="DD72" s="554"/>
      <c r="DE72" s="534"/>
      <c r="DF72" s="534"/>
      <c r="DG72" s="534"/>
    </row>
    <row r="73" spans="1:111" ht="15" x14ac:dyDescent="0.25">
      <c r="A73" s="549">
        <f>IF(Control!$D$5="Y","-",1)</f>
        <v>1</v>
      </c>
      <c r="B73" s="555" t="s">
        <v>558</v>
      </c>
      <c r="C73" s="555" t="s">
        <v>559</v>
      </c>
      <c r="D73" s="555" t="s">
        <v>563</v>
      </c>
      <c r="E73" s="556" t="s">
        <v>22</v>
      </c>
      <c r="F73" s="556" t="s">
        <v>22</v>
      </c>
      <c r="G73" s="556" t="str">
        <f>IFERROR(IF(MID('Load Criteria'!X73,FIND("_",'Load Criteria'!X73,1)+1,1)=LEFT(Control!$D$23,1),"YES","-"),"-")</f>
        <v>YES</v>
      </c>
      <c r="H73" s="549" t="str">
        <f>IF(INDEX('Weather Cases'!$G$10:$G$94,MATCH('Load Criteria'!X73,'Weather Cases'!$H$10:$H$94,0),1)="H","YES","")</f>
        <v>YES</v>
      </c>
      <c r="I73" s="557" t="s">
        <v>299</v>
      </c>
      <c r="J73" s="550">
        <f t="shared" si="14"/>
        <v>300</v>
      </c>
      <c r="K73" s="550" t="s">
        <v>88</v>
      </c>
      <c r="L73" s="252"/>
      <c r="M73" s="252"/>
      <c r="N73" s="252"/>
      <c r="O73" s="252"/>
      <c r="P73" s="393"/>
      <c r="Q73" s="393"/>
      <c r="R73" s="393"/>
      <c r="S73" s="393"/>
      <c r="T73" s="393"/>
      <c r="U73" s="550" t="s">
        <v>564</v>
      </c>
      <c r="V73" s="551">
        <v>0</v>
      </c>
      <c r="W73" s="542" t="str">
        <f t="shared" si="15"/>
        <v>MW0300_A8+E BI++00</v>
      </c>
      <c r="X73" s="552" t="str">
        <f>I73&amp;TEXT(J73,"0000")&amp;"_"&amp;LEFT(Control!$D$23,1)&amp;LEFT(Control!$D$22,LEN(Control!$D$22)-2)</f>
        <v>MW0300_A8</v>
      </c>
      <c r="Y73" s="552" t="s">
        <v>433</v>
      </c>
      <c r="Z73" s="552" t="str">
        <f t="shared" si="16"/>
        <v>BI+</v>
      </c>
      <c r="AA73" s="552">
        <f t="shared" si="17"/>
        <v>0</v>
      </c>
      <c r="AB73" s="552">
        <v>1</v>
      </c>
      <c r="AC73" s="552">
        <v>1</v>
      </c>
      <c r="AD73" s="552">
        <v>1</v>
      </c>
      <c r="AE73" s="552">
        <v>1</v>
      </c>
      <c r="AF73" s="552">
        <v>1</v>
      </c>
      <c r="AG73" s="542" t="s">
        <v>561</v>
      </c>
      <c r="AH73" s="552">
        <v>0</v>
      </c>
      <c r="AI73" s="552">
        <v>0</v>
      </c>
      <c r="AJ73" s="552">
        <v>1</v>
      </c>
      <c r="AK73" s="552">
        <v>1</v>
      </c>
      <c r="AL73" s="552">
        <v>1</v>
      </c>
      <c r="AM73" s="552">
        <v>0</v>
      </c>
      <c r="AN73" s="552">
        <v>0</v>
      </c>
      <c r="AO73" s="552">
        <v>1</v>
      </c>
      <c r="AP73" s="552">
        <v>1</v>
      </c>
      <c r="AQ73" s="552">
        <v>1</v>
      </c>
      <c r="AR73" s="552">
        <v>1</v>
      </c>
      <c r="AS73" s="552">
        <v>1</v>
      </c>
      <c r="AT73" s="552">
        <v>1</v>
      </c>
      <c r="AU73" s="552">
        <v>1</v>
      </c>
      <c r="AV73" s="553" t="str">
        <f>IF(H73="YES","'"&amp;INDEX('Structure Groups'!$C$12:$C$14,MATCH('Load Criteria'!$B$5,'Structure Groups'!$B$12:$B$14,0),1)&amp;"'","'All'")</f>
        <v>'GL Max 800m'</v>
      </c>
      <c r="AW73" s="552" t="s">
        <v>562</v>
      </c>
      <c r="AX73" s="552"/>
      <c r="AY73" s="552" t="str">
        <f t="shared" ref="AY73:AY104" si="18">IF(L73="","No","Yes")</f>
        <v>No</v>
      </c>
      <c r="AZ73" s="554" t="str">
        <f t="shared" ref="AZ73:AZ104" si="19">IF(AY73="No","",IF(L73="A","Ahead Spans","Back Spans"))</f>
        <v/>
      </c>
      <c r="BA73" s="554" t="str">
        <f t="shared" ref="BA73:BA85" si="20">IF(AZ73="","","% Wire Wind Pressure")</f>
        <v/>
      </c>
      <c r="BB73" s="552" t="str">
        <f t="shared" ref="BB73:BB85" si="21">IF(AZ73="","",75)</f>
        <v/>
      </c>
      <c r="BC73" s="554"/>
      <c r="BD73" s="552"/>
      <c r="BE73" s="554"/>
      <c r="BF73" s="554"/>
      <c r="BG73" s="554"/>
      <c r="BH73" s="554"/>
      <c r="BI73" s="554"/>
      <c r="BJ73" s="554"/>
      <c r="BK73" s="554"/>
      <c r="BL73" s="554"/>
      <c r="BM73" s="554"/>
      <c r="BN73" s="554"/>
      <c r="BO73" s="554"/>
      <c r="BP73" s="554"/>
      <c r="BQ73" s="554"/>
      <c r="BR73" s="554"/>
      <c r="BS73" s="554"/>
      <c r="BT73" s="554"/>
      <c r="BU73" s="554"/>
      <c r="BV73" s="554"/>
      <c r="BW73" s="554"/>
      <c r="BX73" s="554"/>
      <c r="BY73" s="554"/>
      <c r="BZ73" s="554"/>
      <c r="CA73" s="554"/>
      <c r="CB73" s="554"/>
      <c r="CC73" s="554"/>
      <c r="CD73" s="554"/>
      <c r="CE73" s="554"/>
      <c r="CF73" s="554"/>
      <c r="CG73" s="554"/>
      <c r="CH73" s="554"/>
      <c r="CI73" s="554"/>
      <c r="CJ73" s="554"/>
      <c r="CK73" s="554"/>
      <c r="CL73" s="554"/>
      <c r="CM73" s="554"/>
      <c r="CN73" s="554"/>
      <c r="CO73" s="554"/>
      <c r="CP73" s="554"/>
      <c r="CQ73" s="554"/>
      <c r="CR73" s="554"/>
      <c r="CS73" s="554"/>
      <c r="CT73" s="554"/>
      <c r="CU73" s="554"/>
      <c r="CV73" s="554"/>
      <c r="CW73" s="554"/>
      <c r="CX73" s="554"/>
      <c r="CY73" s="554"/>
      <c r="CZ73" s="554"/>
      <c r="DA73" s="554"/>
      <c r="DB73" s="554"/>
      <c r="DC73" s="554"/>
      <c r="DD73" s="554"/>
      <c r="DE73" s="534"/>
      <c r="DF73" s="534"/>
      <c r="DG73" s="534"/>
    </row>
    <row r="74" spans="1:111" ht="15" x14ac:dyDescent="0.25">
      <c r="A74" s="549">
        <f>IF(Control!$D$5="Y","-",1)</f>
        <v>1</v>
      </c>
      <c r="B74" s="555" t="s">
        <v>558</v>
      </c>
      <c r="C74" s="555" t="s">
        <v>559</v>
      </c>
      <c r="D74" s="555" t="s">
        <v>563</v>
      </c>
      <c r="E74" s="556" t="s">
        <v>22</v>
      </c>
      <c r="F74" s="556" t="s">
        <v>22</v>
      </c>
      <c r="G74" s="556" t="str">
        <f>IFERROR(IF(MID('Load Criteria'!X74,FIND("_",'Load Criteria'!X74,1)+1,1)=LEFT(Control!$D$23,1),"YES","-"),"-")</f>
        <v>YES</v>
      </c>
      <c r="H74" s="549" t="str">
        <f>IF(INDEX('Weather Cases'!$G$10:$G$94,MATCH('Load Criteria'!X74,'Weather Cases'!$H$10:$H$94,0),1)="H","YES","")</f>
        <v>YES</v>
      </c>
      <c r="I74" s="557" t="s">
        <v>299</v>
      </c>
      <c r="J74" s="550">
        <f t="shared" si="14"/>
        <v>300</v>
      </c>
      <c r="K74" s="550" t="s">
        <v>88</v>
      </c>
      <c r="L74" s="252"/>
      <c r="M74" s="252"/>
      <c r="N74" s="252"/>
      <c r="O74" s="252"/>
      <c r="P74" s="393"/>
      <c r="Q74" s="393"/>
      <c r="R74" s="393"/>
      <c r="S74" s="393"/>
      <c r="T74" s="393"/>
      <c r="U74" s="550" t="s">
        <v>564</v>
      </c>
      <c r="V74" s="551">
        <v>-15</v>
      </c>
      <c r="W74" s="542" t="str">
        <f t="shared" si="15"/>
        <v>MW0300_A8+E BI+-15</v>
      </c>
      <c r="X74" s="552" t="str">
        <f>I74&amp;TEXT(J74,"0000")&amp;"_"&amp;LEFT(Control!$D$23,1)&amp;LEFT(Control!$D$22,LEN(Control!$D$22)-2)</f>
        <v>MW0300_A8</v>
      </c>
      <c r="Y74" s="552" t="s">
        <v>433</v>
      </c>
      <c r="Z74" s="552" t="str">
        <f t="shared" si="16"/>
        <v>BI+</v>
      </c>
      <c r="AA74" s="552">
        <f t="shared" si="17"/>
        <v>-15</v>
      </c>
      <c r="AB74" s="552">
        <v>1</v>
      </c>
      <c r="AC74" s="552">
        <v>1</v>
      </c>
      <c r="AD74" s="552">
        <v>1</v>
      </c>
      <c r="AE74" s="552">
        <v>1</v>
      </c>
      <c r="AF74" s="552">
        <v>1</v>
      </c>
      <c r="AG74" s="542" t="s">
        <v>561</v>
      </c>
      <c r="AH74" s="552">
        <v>0</v>
      </c>
      <c r="AI74" s="552">
        <v>0</v>
      </c>
      <c r="AJ74" s="552">
        <v>1</v>
      </c>
      <c r="AK74" s="552">
        <v>1</v>
      </c>
      <c r="AL74" s="552">
        <v>1</v>
      </c>
      <c r="AM74" s="552">
        <v>0</v>
      </c>
      <c r="AN74" s="552">
        <v>0</v>
      </c>
      <c r="AO74" s="552">
        <v>1</v>
      </c>
      <c r="AP74" s="552">
        <v>1</v>
      </c>
      <c r="AQ74" s="552">
        <v>1</v>
      </c>
      <c r="AR74" s="552">
        <v>1</v>
      </c>
      <c r="AS74" s="552">
        <v>1</v>
      </c>
      <c r="AT74" s="552">
        <v>1</v>
      </c>
      <c r="AU74" s="552">
        <v>1</v>
      </c>
      <c r="AV74" s="553" t="str">
        <f>IF(H74="YES","'"&amp;INDEX('Structure Groups'!$C$12:$C$14,MATCH('Load Criteria'!$B$5,'Structure Groups'!$B$12:$B$14,0),1)&amp;"'","'All'")</f>
        <v>'GL Max 800m'</v>
      </c>
      <c r="AW74" s="552" t="s">
        <v>562</v>
      </c>
      <c r="AX74" s="552"/>
      <c r="AY74" s="552" t="str">
        <f t="shared" si="18"/>
        <v>No</v>
      </c>
      <c r="AZ74" s="554" t="str">
        <f t="shared" si="19"/>
        <v/>
      </c>
      <c r="BA74" s="554" t="str">
        <f t="shared" si="20"/>
        <v/>
      </c>
      <c r="BB74" s="552" t="str">
        <f t="shared" si="21"/>
        <v/>
      </c>
      <c r="BC74" s="554"/>
      <c r="BD74" s="552"/>
      <c r="BE74" s="554"/>
      <c r="BF74" s="554"/>
      <c r="BG74" s="554"/>
      <c r="BH74" s="554"/>
      <c r="BI74" s="554"/>
      <c r="BJ74" s="554"/>
      <c r="BK74" s="554"/>
      <c r="BL74" s="554"/>
      <c r="BM74" s="554"/>
      <c r="BN74" s="554"/>
      <c r="BO74" s="554"/>
      <c r="BP74" s="554"/>
      <c r="BQ74" s="554"/>
      <c r="BR74" s="554"/>
      <c r="BS74" s="554"/>
      <c r="BT74" s="554"/>
      <c r="BU74" s="554"/>
      <c r="BV74" s="554"/>
      <c r="BW74" s="554"/>
      <c r="BX74" s="554"/>
      <c r="BY74" s="554"/>
      <c r="BZ74" s="554"/>
      <c r="CA74" s="554"/>
      <c r="CB74" s="554"/>
      <c r="CC74" s="554"/>
      <c r="CD74" s="554"/>
      <c r="CE74" s="554"/>
      <c r="CF74" s="554"/>
      <c r="CG74" s="554"/>
      <c r="CH74" s="554"/>
      <c r="CI74" s="554"/>
      <c r="CJ74" s="554"/>
      <c r="CK74" s="554"/>
      <c r="CL74" s="554"/>
      <c r="CM74" s="554"/>
      <c r="CN74" s="554"/>
      <c r="CO74" s="554"/>
      <c r="CP74" s="554"/>
      <c r="CQ74" s="554"/>
      <c r="CR74" s="554"/>
      <c r="CS74" s="554"/>
      <c r="CT74" s="554"/>
      <c r="CU74" s="554"/>
      <c r="CV74" s="554"/>
      <c r="CW74" s="554"/>
      <c r="CX74" s="554"/>
      <c r="CY74" s="554"/>
      <c r="CZ74" s="554"/>
      <c r="DA74" s="554"/>
      <c r="DB74" s="554"/>
      <c r="DC74" s="554"/>
      <c r="DD74" s="554"/>
      <c r="DE74" s="534"/>
      <c r="DF74" s="534"/>
      <c r="DG74" s="534"/>
    </row>
    <row r="75" spans="1:111" ht="15" x14ac:dyDescent="0.25">
      <c r="A75" s="549">
        <f>IF(Control!$D$5="Y","-",1)</f>
        <v>1</v>
      </c>
      <c r="B75" s="555" t="s">
        <v>558</v>
      </c>
      <c r="C75" s="555" t="s">
        <v>559</v>
      </c>
      <c r="D75" s="555" t="s">
        <v>563</v>
      </c>
      <c r="E75" s="556" t="s">
        <v>22</v>
      </c>
      <c r="F75" s="556" t="s">
        <v>22</v>
      </c>
      <c r="G75" s="556" t="str">
        <f>IFERROR(IF(MID('Load Criteria'!X75,FIND("_",'Load Criteria'!X75,1)+1,1)=LEFT(Control!$D$23,1),"YES","-"),"-")</f>
        <v>YES</v>
      </c>
      <c r="H75" s="549" t="str">
        <f>IF(INDEX('Weather Cases'!$G$10:$G$94,MATCH('Load Criteria'!X75,'Weather Cases'!$H$10:$H$94,0),1)="H","YES","")</f>
        <v>YES</v>
      </c>
      <c r="I75" s="557" t="s">
        <v>299</v>
      </c>
      <c r="J75" s="550">
        <f t="shared" si="14"/>
        <v>300</v>
      </c>
      <c r="K75" s="550" t="s">
        <v>88</v>
      </c>
      <c r="L75" s="252"/>
      <c r="M75" s="252"/>
      <c r="N75" s="252"/>
      <c r="O75" s="252"/>
      <c r="P75" s="393"/>
      <c r="Q75" s="393"/>
      <c r="R75" s="393"/>
      <c r="S75" s="393"/>
      <c r="T75" s="393"/>
      <c r="U75" s="550" t="s">
        <v>564</v>
      </c>
      <c r="V75" s="551">
        <v>-30</v>
      </c>
      <c r="W75" s="542" t="str">
        <f t="shared" si="15"/>
        <v>MW0300_A8+E BI+-30</v>
      </c>
      <c r="X75" s="552" t="str">
        <f>I75&amp;TEXT(J75,"0000")&amp;"_"&amp;LEFT(Control!$D$23,1)&amp;LEFT(Control!$D$22,LEN(Control!$D$22)-2)</f>
        <v>MW0300_A8</v>
      </c>
      <c r="Y75" s="552" t="s">
        <v>433</v>
      </c>
      <c r="Z75" s="552" t="str">
        <f t="shared" si="16"/>
        <v>BI+</v>
      </c>
      <c r="AA75" s="552">
        <f t="shared" si="17"/>
        <v>-30</v>
      </c>
      <c r="AB75" s="552">
        <v>1</v>
      </c>
      <c r="AC75" s="552">
        <v>1</v>
      </c>
      <c r="AD75" s="552">
        <v>1</v>
      </c>
      <c r="AE75" s="552">
        <v>1</v>
      </c>
      <c r="AF75" s="552">
        <v>1</v>
      </c>
      <c r="AG75" s="542" t="s">
        <v>561</v>
      </c>
      <c r="AH75" s="552">
        <v>0</v>
      </c>
      <c r="AI75" s="552">
        <v>0</v>
      </c>
      <c r="AJ75" s="552">
        <v>1</v>
      </c>
      <c r="AK75" s="552">
        <v>1</v>
      </c>
      <c r="AL75" s="552">
        <v>1</v>
      </c>
      <c r="AM75" s="552">
        <v>0</v>
      </c>
      <c r="AN75" s="552">
        <v>0</v>
      </c>
      <c r="AO75" s="552">
        <v>1</v>
      </c>
      <c r="AP75" s="552">
        <v>1</v>
      </c>
      <c r="AQ75" s="552">
        <v>1</v>
      </c>
      <c r="AR75" s="552">
        <v>1</v>
      </c>
      <c r="AS75" s="552">
        <v>1</v>
      </c>
      <c r="AT75" s="552">
        <v>1</v>
      </c>
      <c r="AU75" s="552">
        <v>1</v>
      </c>
      <c r="AV75" s="553" t="str">
        <f>IF(H75="YES","'"&amp;INDEX('Structure Groups'!$C$12:$C$14,MATCH('Load Criteria'!$B$5,'Structure Groups'!$B$12:$B$14,0),1)&amp;"'","'All'")</f>
        <v>'GL Max 800m'</v>
      </c>
      <c r="AW75" s="552" t="s">
        <v>562</v>
      </c>
      <c r="AX75" s="552"/>
      <c r="AY75" s="552" t="str">
        <f t="shared" si="18"/>
        <v>No</v>
      </c>
      <c r="AZ75" s="554" t="str">
        <f t="shared" si="19"/>
        <v/>
      </c>
      <c r="BA75" s="554" t="str">
        <f t="shared" si="20"/>
        <v/>
      </c>
      <c r="BB75" s="552" t="str">
        <f t="shared" si="21"/>
        <v/>
      </c>
      <c r="BC75" s="554"/>
      <c r="BD75" s="552"/>
      <c r="BE75" s="554"/>
      <c r="BF75" s="554"/>
      <c r="BG75" s="554"/>
      <c r="BH75" s="554"/>
      <c r="BI75" s="554"/>
      <c r="BJ75" s="554"/>
      <c r="BK75" s="554"/>
      <c r="BL75" s="554"/>
      <c r="BM75" s="554"/>
      <c r="BN75" s="554"/>
      <c r="BO75" s="554"/>
      <c r="BP75" s="554"/>
      <c r="BQ75" s="554"/>
      <c r="BR75" s="554"/>
      <c r="BS75" s="554"/>
      <c r="BT75" s="554"/>
      <c r="BU75" s="554"/>
      <c r="BV75" s="554"/>
      <c r="BW75" s="554"/>
      <c r="BX75" s="554"/>
      <c r="BY75" s="554"/>
      <c r="BZ75" s="554"/>
      <c r="CA75" s="554"/>
      <c r="CB75" s="554"/>
      <c r="CC75" s="554"/>
      <c r="CD75" s="554"/>
      <c r="CE75" s="554"/>
      <c r="CF75" s="554"/>
      <c r="CG75" s="554"/>
      <c r="CH75" s="554"/>
      <c r="CI75" s="554"/>
      <c r="CJ75" s="554"/>
      <c r="CK75" s="554"/>
      <c r="CL75" s="554"/>
      <c r="CM75" s="554"/>
      <c r="CN75" s="554"/>
      <c r="CO75" s="554"/>
      <c r="CP75" s="554"/>
      <c r="CQ75" s="554"/>
      <c r="CR75" s="554"/>
      <c r="CS75" s="554"/>
      <c r="CT75" s="554"/>
      <c r="CU75" s="554"/>
      <c r="CV75" s="554"/>
      <c r="CW75" s="554"/>
      <c r="CX75" s="554"/>
      <c r="CY75" s="554"/>
      <c r="CZ75" s="554"/>
      <c r="DA75" s="554"/>
      <c r="DB75" s="554"/>
      <c r="DC75" s="554"/>
      <c r="DD75" s="554"/>
      <c r="DE75" s="534"/>
      <c r="DF75" s="534"/>
      <c r="DG75" s="534"/>
    </row>
    <row r="76" spans="1:111" ht="15" x14ac:dyDescent="0.25">
      <c r="A76" s="549">
        <f>IF(Control!$D$5="Y","-",1)</f>
        <v>1</v>
      </c>
      <c r="B76" s="555" t="s">
        <v>558</v>
      </c>
      <c r="C76" s="555" t="s">
        <v>559</v>
      </c>
      <c r="D76" s="555" t="s">
        <v>563</v>
      </c>
      <c r="E76" s="556" t="s">
        <v>22</v>
      </c>
      <c r="F76" s="556" t="s">
        <v>22</v>
      </c>
      <c r="G76" s="556" t="str">
        <f>IFERROR(IF(MID('Load Criteria'!X76,FIND("_",'Load Criteria'!X76,1)+1,1)=LEFT(Control!$D$23,1),"YES","-"),"-")</f>
        <v>YES</v>
      </c>
      <c r="H76" s="549" t="str">
        <f>IF(INDEX('Weather Cases'!$G$10:$G$94,MATCH('Load Criteria'!X76,'Weather Cases'!$H$10:$H$94,0),1)="H","YES","")</f>
        <v>YES</v>
      </c>
      <c r="I76" s="557" t="s">
        <v>299</v>
      </c>
      <c r="J76" s="550">
        <f t="shared" si="14"/>
        <v>300</v>
      </c>
      <c r="K76" s="550" t="s">
        <v>88</v>
      </c>
      <c r="L76" s="252"/>
      <c r="M76" s="252"/>
      <c r="N76" s="252"/>
      <c r="O76" s="252"/>
      <c r="P76" s="393"/>
      <c r="Q76" s="393"/>
      <c r="R76" s="393"/>
      <c r="S76" s="393"/>
      <c r="T76" s="393"/>
      <c r="U76" s="550" t="s">
        <v>564</v>
      </c>
      <c r="V76" s="551">
        <v>-45</v>
      </c>
      <c r="W76" s="542" t="str">
        <f t="shared" si="15"/>
        <v>MW0300_A8+E BI+-45</v>
      </c>
      <c r="X76" s="552" t="str">
        <f>I76&amp;TEXT(J76,"0000")&amp;"_"&amp;LEFT(Control!$D$23,1)&amp;LEFT(Control!$D$22,LEN(Control!$D$22)-2)</f>
        <v>MW0300_A8</v>
      </c>
      <c r="Y76" s="552" t="s">
        <v>433</v>
      </c>
      <c r="Z76" s="552" t="str">
        <f t="shared" si="16"/>
        <v>BI+</v>
      </c>
      <c r="AA76" s="552">
        <f t="shared" si="17"/>
        <v>-45</v>
      </c>
      <c r="AB76" s="552">
        <v>1</v>
      </c>
      <c r="AC76" s="552">
        <v>1</v>
      </c>
      <c r="AD76" s="552">
        <v>1</v>
      </c>
      <c r="AE76" s="552">
        <v>1</v>
      </c>
      <c r="AF76" s="552">
        <v>1</v>
      </c>
      <c r="AG76" s="542" t="s">
        <v>561</v>
      </c>
      <c r="AH76" s="552">
        <v>0</v>
      </c>
      <c r="AI76" s="552">
        <v>0</v>
      </c>
      <c r="AJ76" s="552">
        <v>1</v>
      </c>
      <c r="AK76" s="552">
        <v>1</v>
      </c>
      <c r="AL76" s="552">
        <v>1</v>
      </c>
      <c r="AM76" s="552">
        <v>0</v>
      </c>
      <c r="AN76" s="552">
        <v>0</v>
      </c>
      <c r="AO76" s="552">
        <v>1</v>
      </c>
      <c r="AP76" s="552">
        <v>1</v>
      </c>
      <c r="AQ76" s="552">
        <v>1</v>
      </c>
      <c r="AR76" s="552">
        <v>1</v>
      </c>
      <c r="AS76" s="552">
        <v>1</v>
      </c>
      <c r="AT76" s="552">
        <v>1</v>
      </c>
      <c r="AU76" s="552">
        <v>1</v>
      </c>
      <c r="AV76" s="553" t="str">
        <f>IF(H76="YES","'"&amp;INDEX('Structure Groups'!$C$12:$C$14,MATCH('Load Criteria'!$B$5,'Structure Groups'!$B$12:$B$14,0),1)&amp;"'","'All'")</f>
        <v>'GL Max 800m'</v>
      </c>
      <c r="AW76" s="552" t="s">
        <v>562</v>
      </c>
      <c r="AX76" s="552"/>
      <c r="AY76" s="552" t="str">
        <f t="shared" si="18"/>
        <v>No</v>
      </c>
      <c r="AZ76" s="554" t="str">
        <f t="shared" si="19"/>
        <v/>
      </c>
      <c r="BA76" s="554" t="str">
        <f t="shared" si="20"/>
        <v/>
      </c>
      <c r="BB76" s="552" t="str">
        <f t="shared" si="21"/>
        <v/>
      </c>
      <c r="BC76" s="554"/>
      <c r="BD76" s="552"/>
      <c r="BE76" s="554"/>
      <c r="BF76" s="554"/>
      <c r="BG76" s="554"/>
      <c r="BH76" s="554"/>
      <c r="BI76" s="554"/>
      <c r="BJ76" s="554"/>
      <c r="BK76" s="554"/>
      <c r="BL76" s="554"/>
      <c r="BM76" s="554"/>
      <c r="BN76" s="554"/>
      <c r="BO76" s="554"/>
      <c r="BP76" s="554"/>
      <c r="BQ76" s="554"/>
      <c r="BR76" s="554"/>
      <c r="BS76" s="554"/>
      <c r="BT76" s="554"/>
      <c r="BU76" s="554"/>
      <c r="BV76" s="554"/>
      <c r="BW76" s="554"/>
      <c r="BX76" s="554"/>
      <c r="BY76" s="554"/>
      <c r="BZ76" s="554"/>
      <c r="CA76" s="554"/>
      <c r="CB76" s="554"/>
      <c r="CC76" s="554"/>
      <c r="CD76" s="554"/>
      <c r="CE76" s="554"/>
      <c r="CF76" s="554"/>
      <c r="CG76" s="554"/>
      <c r="CH76" s="554"/>
      <c r="CI76" s="554"/>
      <c r="CJ76" s="554"/>
      <c r="CK76" s="554"/>
      <c r="CL76" s="554"/>
      <c r="CM76" s="554"/>
      <c r="CN76" s="554"/>
      <c r="CO76" s="554"/>
      <c r="CP76" s="554"/>
      <c r="CQ76" s="554"/>
      <c r="CR76" s="554"/>
      <c r="CS76" s="554"/>
      <c r="CT76" s="554"/>
      <c r="CU76" s="554"/>
      <c r="CV76" s="554"/>
      <c r="CW76" s="554"/>
      <c r="CX76" s="554"/>
      <c r="CY76" s="554"/>
      <c r="CZ76" s="554"/>
      <c r="DA76" s="554"/>
      <c r="DB76" s="554"/>
      <c r="DC76" s="554"/>
      <c r="DD76" s="554"/>
      <c r="DE76" s="534"/>
      <c r="DF76" s="534"/>
      <c r="DG76" s="534"/>
    </row>
    <row r="77" spans="1:111" ht="15" x14ac:dyDescent="0.25">
      <c r="A77" s="549">
        <f>IF(Control!$D$5="Y","-",1)</f>
        <v>1</v>
      </c>
      <c r="B77" s="555" t="s">
        <v>558</v>
      </c>
      <c r="C77" s="555" t="s">
        <v>559</v>
      </c>
      <c r="D77" s="555" t="s">
        <v>563</v>
      </c>
      <c r="E77" s="556" t="s">
        <v>22</v>
      </c>
      <c r="F77" s="556" t="s">
        <v>22</v>
      </c>
      <c r="G77" s="556" t="str">
        <f>IFERROR(IF(MID('Load Criteria'!X77,FIND("_",'Load Criteria'!X77,1)+1,1)=LEFT(Control!$D$23,1),"YES","-"),"-")</f>
        <v>YES</v>
      </c>
      <c r="H77" s="549" t="str">
        <f>IF(INDEX('Weather Cases'!$G$10:$G$94,MATCH('Load Criteria'!X77,'Weather Cases'!$H$10:$H$94,0),1)="H","YES","")</f>
        <v>YES</v>
      </c>
      <c r="I77" s="557" t="s">
        <v>299</v>
      </c>
      <c r="J77" s="550">
        <f t="shared" si="14"/>
        <v>300</v>
      </c>
      <c r="K77" s="550" t="s">
        <v>88</v>
      </c>
      <c r="L77" s="252"/>
      <c r="M77" s="252"/>
      <c r="N77" s="252"/>
      <c r="O77" s="252"/>
      <c r="P77" s="393"/>
      <c r="Q77" s="393"/>
      <c r="R77" s="393"/>
      <c r="S77" s="393"/>
      <c r="T77" s="393"/>
      <c r="U77" s="550" t="s">
        <v>564</v>
      </c>
      <c r="V77" s="551">
        <v>-90</v>
      </c>
      <c r="W77" s="542" t="str">
        <f t="shared" si="15"/>
        <v>MW0300_A8+E BI+-90</v>
      </c>
      <c r="X77" s="552" t="str">
        <f>I77&amp;TEXT(J77,"0000")&amp;"_"&amp;LEFT(Control!$D$23,1)&amp;LEFT(Control!$D$22,LEN(Control!$D$22)-2)</f>
        <v>MW0300_A8</v>
      </c>
      <c r="Y77" s="552" t="s">
        <v>433</v>
      </c>
      <c r="Z77" s="552" t="str">
        <f t="shared" si="16"/>
        <v>BI+</v>
      </c>
      <c r="AA77" s="552">
        <f t="shared" si="17"/>
        <v>-90</v>
      </c>
      <c r="AB77" s="552">
        <v>1</v>
      </c>
      <c r="AC77" s="552">
        <v>1</v>
      </c>
      <c r="AD77" s="552">
        <v>1</v>
      </c>
      <c r="AE77" s="552">
        <v>1</v>
      </c>
      <c r="AF77" s="552">
        <v>1</v>
      </c>
      <c r="AG77" s="542" t="s">
        <v>561</v>
      </c>
      <c r="AH77" s="552">
        <v>0</v>
      </c>
      <c r="AI77" s="552">
        <v>0</v>
      </c>
      <c r="AJ77" s="552">
        <v>1</v>
      </c>
      <c r="AK77" s="552">
        <v>1</v>
      </c>
      <c r="AL77" s="552">
        <v>1</v>
      </c>
      <c r="AM77" s="552">
        <v>0</v>
      </c>
      <c r="AN77" s="552">
        <v>0</v>
      </c>
      <c r="AO77" s="552">
        <v>1</v>
      </c>
      <c r="AP77" s="552">
        <v>1</v>
      </c>
      <c r="AQ77" s="552">
        <v>1</v>
      </c>
      <c r="AR77" s="552">
        <v>1</v>
      </c>
      <c r="AS77" s="552">
        <v>1</v>
      </c>
      <c r="AT77" s="552">
        <v>1</v>
      </c>
      <c r="AU77" s="552">
        <v>1</v>
      </c>
      <c r="AV77" s="553" t="str">
        <f>IF(H77="YES","'"&amp;INDEX('Structure Groups'!$C$12:$C$14,MATCH('Load Criteria'!$B$5,'Structure Groups'!$B$12:$B$14,0),1)&amp;"'","'All'")</f>
        <v>'GL Max 800m'</v>
      </c>
      <c r="AW77" s="552" t="s">
        <v>562</v>
      </c>
      <c r="AX77" s="552"/>
      <c r="AY77" s="552" t="str">
        <f t="shared" si="18"/>
        <v>No</v>
      </c>
      <c r="AZ77" s="554" t="str">
        <f t="shared" si="19"/>
        <v/>
      </c>
      <c r="BA77" s="554" t="str">
        <f t="shared" si="20"/>
        <v/>
      </c>
      <c r="BB77" s="552" t="str">
        <f t="shared" si="21"/>
        <v/>
      </c>
      <c r="BC77" s="554"/>
      <c r="BD77" s="552"/>
      <c r="BE77" s="554"/>
      <c r="BF77" s="554"/>
      <c r="BG77" s="554"/>
      <c r="BH77" s="554"/>
      <c r="BI77" s="554"/>
      <c r="BJ77" s="554"/>
      <c r="BK77" s="554"/>
      <c r="BL77" s="554"/>
      <c r="BM77" s="554"/>
      <c r="BN77" s="554"/>
      <c r="BO77" s="554"/>
      <c r="BP77" s="554"/>
      <c r="BQ77" s="554"/>
      <c r="BR77" s="554"/>
      <c r="BS77" s="554"/>
      <c r="BT77" s="554"/>
      <c r="BU77" s="554"/>
      <c r="BV77" s="554"/>
      <c r="BW77" s="554"/>
      <c r="BX77" s="554"/>
      <c r="BY77" s="554"/>
      <c r="BZ77" s="554"/>
      <c r="CA77" s="554"/>
      <c r="CB77" s="554"/>
      <c r="CC77" s="554"/>
      <c r="CD77" s="554"/>
      <c r="CE77" s="554"/>
      <c r="CF77" s="554"/>
      <c r="CG77" s="554"/>
      <c r="CH77" s="554"/>
      <c r="CI77" s="554"/>
      <c r="CJ77" s="554"/>
      <c r="CK77" s="554"/>
      <c r="CL77" s="554"/>
      <c r="CM77" s="554"/>
      <c r="CN77" s="554"/>
      <c r="CO77" s="554"/>
      <c r="CP77" s="554"/>
      <c r="CQ77" s="554"/>
      <c r="CR77" s="554"/>
      <c r="CS77" s="554"/>
      <c r="CT77" s="554"/>
      <c r="CU77" s="554"/>
      <c r="CV77" s="554"/>
      <c r="CW77" s="554"/>
      <c r="CX77" s="554"/>
      <c r="CY77" s="554"/>
      <c r="CZ77" s="554"/>
      <c r="DA77" s="554"/>
      <c r="DB77" s="554"/>
      <c r="DC77" s="554"/>
      <c r="DD77" s="554"/>
      <c r="DE77" s="534"/>
      <c r="DF77" s="534"/>
      <c r="DG77" s="534"/>
    </row>
    <row r="78" spans="1:111" ht="15" x14ac:dyDescent="0.25">
      <c r="A78" s="549">
        <f>IF(Control!$D$5="Y","-",1)</f>
        <v>1</v>
      </c>
      <c r="B78" s="555" t="s">
        <v>558</v>
      </c>
      <c r="C78" s="555" t="s">
        <v>559</v>
      </c>
      <c r="D78" s="555" t="s">
        <v>563</v>
      </c>
      <c r="E78" s="556" t="s">
        <v>22</v>
      </c>
      <c r="F78" s="556" t="s">
        <v>22</v>
      </c>
      <c r="G78" s="556" t="str">
        <f>IFERROR(IF(MID('Load Criteria'!X78,FIND("_",'Load Criteria'!X78,1)+1,1)=LEFT(Control!$D$23,1),"YES","-"),"-")</f>
        <v>YES</v>
      </c>
      <c r="H78" s="549" t="str">
        <f>IF(INDEX('Weather Cases'!$G$10:$G$94,MATCH('Load Criteria'!X78,'Weather Cases'!$H$10:$H$94,0),1)="H","YES","")</f>
        <v>YES</v>
      </c>
      <c r="I78" s="557" t="s">
        <v>299</v>
      </c>
      <c r="J78" s="550">
        <f t="shared" si="14"/>
        <v>300</v>
      </c>
      <c r="K78" s="550" t="s">
        <v>88</v>
      </c>
      <c r="L78" s="252"/>
      <c r="M78" s="252"/>
      <c r="N78" s="252"/>
      <c r="O78" s="252"/>
      <c r="P78" s="393"/>
      <c r="Q78" s="393"/>
      <c r="R78" s="393"/>
      <c r="S78" s="393"/>
      <c r="T78" s="393"/>
      <c r="U78" s="550" t="s">
        <v>565</v>
      </c>
      <c r="V78" s="551">
        <v>90</v>
      </c>
      <c r="W78" s="542" t="str">
        <f t="shared" si="15"/>
        <v>MW0300_A8+E BI-+90</v>
      </c>
      <c r="X78" s="552" t="str">
        <f>I78&amp;TEXT(J78,"0000")&amp;"_"&amp;LEFT(Control!$D$23,1)&amp;LEFT(Control!$D$22,LEN(Control!$D$22)-2)</f>
        <v>MW0300_A8</v>
      </c>
      <c r="Y78" s="552" t="s">
        <v>433</v>
      </c>
      <c r="Z78" s="552" t="str">
        <f t="shared" ref="Z78:Z87" si="22">U78</f>
        <v>BI-</v>
      </c>
      <c r="AA78" s="552">
        <f t="shared" ref="AA78:AA87" si="23">V78</f>
        <v>90</v>
      </c>
      <c r="AB78" s="552">
        <v>1</v>
      </c>
      <c r="AC78" s="552">
        <v>1</v>
      </c>
      <c r="AD78" s="552">
        <v>1</v>
      </c>
      <c r="AE78" s="552">
        <v>1</v>
      </c>
      <c r="AF78" s="552">
        <v>1</v>
      </c>
      <c r="AG78" s="542" t="s">
        <v>561</v>
      </c>
      <c r="AH78" s="552">
        <v>0</v>
      </c>
      <c r="AI78" s="552">
        <v>0</v>
      </c>
      <c r="AJ78" s="552">
        <v>1</v>
      </c>
      <c r="AK78" s="552">
        <v>1</v>
      </c>
      <c r="AL78" s="552">
        <v>1</v>
      </c>
      <c r="AM78" s="552">
        <v>0</v>
      </c>
      <c r="AN78" s="552">
        <v>0</v>
      </c>
      <c r="AO78" s="552">
        <v>1</v>
      </c>
      <c r="AP78" s="552">
        <v>1</v>
      </c>
      <c r="AQ78" s="552">
        <v>1</v>
      </c>
      <c r="AR78" s="552">
        <v>1</v>
      </c>
      <c r="AS78" s="552">
        <v>1</v>
      </c>
      <c r="AT78" s="552">
        <v>1</v>
      </c>
      <c r="AU78" s="552">
        <v>1</v>
      </c>
      <c r="AV78" s="553" t="str">
        <f>IF(H78="YES","'"&amp;INDEX('Structure Groups'!$C$12:$C$14,MATCH('Load Criteria'!$B$5,'Structure Groups'!$B$12:$B$14,0),1)&amp;"'","'All'")</f>
        <v>'GL Max 800m'</v>
      </c>
      <c r="AW78" s="552" t="s">
        <v>562</v>
      </c>
      <c r="AX78" s="552"/>
      <c r="AY78" s="552" t="str">
        <f t="shared" si="18"/>
        <v>No</v>
      </c>
      <c r="AZ78" s="554" t="str">
        <f t="shared" si="19"/>
        <v/>
      </c>
      <c r="BA78" s="554" t="str">
        <f t="shared" si="20"/>
        <v/>
      </c>
      <c r="BB78" s="552" t="str">
        <f t="shared" si="21"/>
        <v/>
      </c>
      <c r="BC78" s="554"/>
      <c r="BD78" s="552"/>
      <c r="BE78" s="554"/>
      <c r="BF78" s="554"/>
      <c r="BG78" s="554"/>
      <c r="BH78" s="554"/>
      <c r="BI78" s="554"/>
      <c r="BJ78" s="554"/>
      <c r="BK78" s="554"/>
      <c r="BL78" s="554"/>
      <c r="BM78" s="554"/>
      <c r="BN78" s="554"/>
      <c r="BO78" s="554"/>
      <c r="BP78" s="554"/>
      <c r="BQ78" s="554"/>
      <c r="BR78" s="554"/>
      <c r="BS78" s="554"/>
      <c r="BT78" s="554"/>
      <c r="BU78" s="554"/>
      <c r="BV78" s="554"/>
      <c r="BW78" s="554"/>
      <c r="BX78" s="554"/>
      <c r="BY78" s="554"/>
      <c r="BZ78" s="554"/>
      <c r="CA78" s="554"/>
      <c r="CB78" s="554"/>
      <c r="CC78" s="554"/>
      <c r="CD78" s="554"/>
      <c r="CE78" s="554"/>
      <c r="CF78" s="554"/>
      <c r="CG78" s="554"/>
      <c r="CH78" s="554"/>
      <c r="CI78" s="554"/>
      <c r="CJ78" s="554"/>
      <c r="CK78" s="554"/>
      <c r="CL78" s="554"/>
      <c r="CM78" s="554"/>
      <c r="CN78" s="554"/>
      <c r="CO78" s="554"/>
      <c r="CP78" s="554"/>
      <c r="CQ78" s="554"/>
      <c r="CR78" s="554"/>
      <c r="CS78" s="554"/>
      <c r="CT78" s="554"/>
      <c r="CU78" s="554"/>
      <c r="CV78" s="554"/>
      <c r="CW78" s="554"/>
      <c r="CX78" s="554"/>
      <c r="CY78" s="554"/>
      <c r="CZ78" s="554"/>
      <c r="DA78" s="554"/>
      <c r="DB78" s="554"/>
      <c r="DC78" s="554"/>
      <c r="DD78" s="554"/>
      <c r="DE78" s="534"/>
      <c r="DF78" s="534"/>
      <c r="DG78" s="534"/>
    </row>
    <row r="79" spans="1:111" ht="15" x14ac:dyDescent="0.25">
      <c r="A79" s="549">
        <f>IF(Control!$D$5="Y","-",1)</f>
        <v>1</v>
      </c>
      <c r="B79" s="555" t="s">
        <v>558</v>
      </c>
      <c r="C79" s="555" t="s">
        <v>559</v>
      </c>
      <c r="D79" s="555" t="s">
        <v>563</v>
      </c>
      <c r="E79" s="556" t="s">
        <v>22</v>
      </c>
      <c r="F79" s="556" t="s">
        <v>22</v>
      </c>
      <c r="G79" s="556" t="str">
        <f>IFERROR(IF(MID('Load Criteria'!X79,FIND("_",'Load Criteria'!X79,1)+1,1)=LEFT(Control!$D$23,1),"YES","-"),"-")</f>
        <v>YES</v>
      </c>
      <c r="H79" s="549" t="str">
        <f>IF(INDEX('Weather Cases'!$G$10:$G$94,MATCH('Load Criteria'!X79,'Weather Cases'!$H$10:$H$94,0),1)="H","YES","")</f>
        <v>YES</v>
      </c>
      <c r="I79" s="557" t="s">
        <v>299</v>
      </c>
      <c r="J79" s="550">
        <f t="shared" si="14"/>
        <v>300</v>
      </c>
      <c r="K79" s="550" t="s">
        <v>88</v>
      </c>
      <c r="L79" s="252"/>
      <c r="M79" s="252"/>
      <c r="N79" s="252"/>
      <c r="O79" s="252"/>
      <c r="P79" s="393"/>
      <c r="Q79" s="393"/>
      <c r="R79" s="393"/>
      <c r="S79" s="393"/>
      <c r="T79" s="393"/>
      <c r="U79" s="550" t="s">
        <v>565</v>
      </c>
      <c r="V79" s="551">
        <v>45</v>
      </c>
      <c r="W79" s="542" t="str">
        <f t="shared" si="15"/>
        <v>MW0300_A8+E BI-+45</v>
      </c>
      <c r="X79" s="552" t="str">
        <f>I79&amp;TEXT(J79,"0000")&amp;"_"&amp;LEFT(Control!$D$23,1)&amp;LEFT(Control!$D$22,LEN(Control!$D$22)-2)</f>
        <v>MW0300_A8</v>
      </c>
      <c r="Y79" s="552" t="s">
        <v>433</v>
      </c>
      <c r="Z79" s="552" t="str">
        <f t="shared" si="22"/>
        <v>BI-</v>
      </c>
      <c r="AA79" s="552">
        <f t="shared" si="23"/>
        <v>45</v>
      </c>
      <c r="AB79" s="552">
        <v>1</v>
      </c>
      <c r="AC79" s="552">
        <v>1</v>
      </c>
      <c r="AD79" s="552">
        <v>1</v>
      </c>
      <c r="AE79" s="552">
        <v>1</v>
      </c>
      <c r="AF79" s="552">
        <v>1</v>
      </c>
      <c r="AG79" s="542" t="s">
        <v>561</v>
      </c>
      <c r="AH79" s="552">
        <v>0</v>
      </c>
      <c r="AI79" s="552">
        <v>0</v>
      </c>
      <c r="AJ79" s="552">
        <v>1</v>
      </c>
      <c r="AK79" s="552">
        <v>1</v>
      </c>
      <c r="AL79" s="552">
        <v>1</v>
      </c>
      <c r="AM79" s="552">
        <v>0</v>
      </c>
      <c r="AN79" s="552">
        <v>0</v>
      </c>
      <c r="AO79" s="552">
        <v>1</v>
      </c>
      <c r="AP79" s="552">
        <v>1</v>
      </c>
      <c r="AQ79" s="552">
        <v>1</v>
      </c>
      <c r="AR79" s="552">
        <v>1</v>
      </c>
      <c r="AS79" s="552">
        <v>1</v>
      </c>
      <c r="AT79" s="552">
        <v>1</v>
      </c>
      <c r="AU79" s="552">
        <v>1</v>
      </c>
      <c r="AV79" s="553" t="str">
        <f>IF(H79="YES","'"&amp;INDEX('Structure Groups'!$C$12:$C$14,MATCH('Load Criteria'!$B$5,'Structure Groups'!$B$12:$B$14,0),1)&amp;"'","'All'")</f>
        <v>'GL Max 800m'</v>
      </c>
      <c r="AW79" s="552" t="s">
        <v>562</v>
      </c>
      <c r="AX79" s="552"/>
      <c r="AY79" s="552" t="str">
        <f t="shared" si="18"/>
        <v>No</v>
      </c>
      <c r="AZ79" s="554" t="str">
        <f t="shared" si="19"/>
        <v/>
      </c>
      <c r="BA79" s="554" t="str">
        <f t="shared" si="20"/>
        <v/>
      </c>
      <c r="BB79" s="552" t="str">
        <f t="shared" si="21"/>
        <v/>
      </c>
      <c r="BC79" s="554"/>
      <c r="BD79" s="552"/>
      <c r="BE79" s="554"/>
      <c r="BF79" s="554"/>
      <c r="BG79" s="554"/>
      <c r="BH79" s="554"/>
      <c r="BI79" s="554"/>
      <c r="BJ79" s="554"/>
      <c r="BK79" s="554"/>
      <c r="BL79" s="554"/>
      <c r="BM79" s="554"/>
      <c r="BN79" s="554"/>
      <c r="BO79" s="554"/>
      <c r="BP79" s="554"/>
      <c r="BQ79" s="554"/>
      <c r="BR79" s="554"/>
      <c r="BS79" s="554"/>
      <c r="BT79" s="554"/>
      <c r="BU79" s="554"/>
      <c r="BV79" s="554"/>
      <c r="BW79" s="554"/>
      <c r="BX79" s="554"/>
      <c r="BY79" s="554"/>
      <c r="BZ79" s="554"/>
      <c r="CA79" s="554"/>
      <c r="CB79" s="554"/>
      <c r="CC79" s="554"/>
      <c r="CD79" s="554"/>
      <c r="CE79" s="554"/>
      <c r="CF79" s="554"/>
      <c r="CG79" s="554"/>
      <c r="CH79" s="554"/>
      <c r="CI79" s="554"/>
      <c r="CJ79" s="554"/>
      <c r="CK79" s="554"/>
      <c r="CL79" s="554"/>
      <c r="CM79" s="554"/>
      <c r="CN79" s="554"/>
      <c r="CO79" s="554"/>
      <c r="CP79" s="554"/>
      <c r="CQ79" s="554"/>
      <c r="CR79" s="554"/>
      <c r="CS79" s="554"/>
      <c r="CT79" s="554"/>
      <c r="CU79" s="554"/>
      <c r="CV79" s="554"/>
      <c r="CW79" s="554"/>
      <c r="CX79" s="554"/>
      <c r="CY79" s="554"/>
      <c r="CZ79" s="554"/>
      <c r="DA79" s="554"/>
      <c r="DB79" s="554"/>
      <c r="DC79" s="554"/>
      <c r="DD79" s="554"/>
      <c r="DE79" s="534"/>
      <c r="DF79" s="534"/>
      <c r="DG79" s="534"/>
    </row>
    <row r="80" spans="1:111" ht="15" x14ac:dyDescent="0.25">
      <c r="A80" s="549">
        <f>IF(Control!$D$5="Y","-",1)</f>
        <v>1</v>
      </c>
      <c r="B80" s="555" t="s">
        <v>558</v>
      </c>
      <c r="C80" s="555" t="s">
        <v>559</v>
      </c>
      <c r="D80" s="555" t="s">
        <v>563</v>
      </c>
      <c r="E80" s="556" t="s">
        <v>22</v>
      </c>
      <c r="F80" s="556" t="s">
        <v>22</v>
      </c>
      <c r="G80" s="556" t="str">
        <f>IFERROR(IF(MID('Load Criteria'!X80,FIND("_",'Load Criteria'!X80,1)+1,1)=LEFT(Control!$D$23,1),"YES","-"),"-")</f>
        <v>YES</v>
      </c>
      <c r="H80" s="549" t="str">
        <f>IF(INDEX('Weather Cases'!$G$10:$G$94,MATCH('Load Criteria'!X80,'Weather Cases'!$H$10:$H$94,0),1)="H","YES","")</f>
        <v>YES</v>
      </c>
      <c r="I80" s="557" t="s">
        <v>299</v>
      </c>
      <c r="J80" s="550">
        <f t="shared" si="14"/>
        <v>300</v>
      </c>
      <c r="K80" s="550" t="s">
        <v>88</v>
      </c>
      <c r="L80" s="252"/>
      <c r="M80" s="252"/>
      <c r="N80" s="252"/>
      <c r="O80" s="252"/>
      <c r="P80" s="393"/>
      <c r="Q80" s="393"/>
      <c r="R80" s="393"/>
      <c r="S80" s="393"/>
      <c r="T80" s="393"/>
      <c r="U80" s="550" t="s">
        <v>565</v>
      </c>
      <c r="V80" s="551">
        <v>30</v>
      </c>
      <c r="W80" s="542" t="str">
        <f t="shared" si="15"/>
        <v>MW0300_A8+E BI-+30</v>
      </c>
      <c r="X80" s="552" t="str">
        <f>I80&amp;TEXT(J80,"0000")&amp;"_"&amp;LEFT(Control!$D$23,1)&amp;LEFT(Control!$D$22,LEN(Control!$D$22)-2)</f>
        <v>MW0300_A8</v>
      </c>
      <c r="Y80" s="552" t="s">
        <v>433</v>
      </c>
      <c r="Z80" s="552" t="str">
        <f t="shared" si="22"/>
        <v>BI-</v>
      </c>
      <c r="AA80" s="552">
        <f t="shared" si="23"/>
        <v>30</v>
      </c>
      <c r="AB80" s="552">
        <v>1</v>
      </c>
      <c r="AC80" s="552">
        <v>1</v>
      </c>
      <c r="AD80" s="552">
        <v>1</v>
      </c>
      <c r="AE80" s="552">
        <v>1</v>
      </c>
      <c r="AF80" s="552">
        <v>1</v>
      </c>
      <c r="AG80" s="542" t="s">
        <v>561</v>
      </c>
      <c r="AH80" s="552">
        <v>0</v>
      </c>
      <c r="AI80" s="552">
        <v>0</v>
      </c>
      <c r="AJ80" s="552">
        <v>1</v>
      </c>
      <c r="AK80" s="552">
        <v>1</v>
      </c>
      <c r="AL80" s="552">
        <v>1</v>
      </c>
      <c r="AM80" s="552">
        <v>0</v>
      </c>
      <c r="AN80" s="552">
        <v>0</v>
      </c>
      <c r="AO80" s="552">
        <v>1</v>
      </c>
      <c r="AP80" s="552">
        <v>1</v>
      </c>
      <c r="AQ80" s="552">
        <v>1</v>
      </c>
      <c r="AR80" s="552">
        <v>1</v>
      </c>
      <c r="AS80" s="552">
        <v>1</v>
      </c>
      <c r="AT80" s="552">
        <v>1</v>
      </c>
      <c r="AU80" s="552">
        <v>1</v>
      </c>
      <c r="AV80" s="553" t="str">
        <f>IF(H80="YES","'"&amp;INDEX('Structure Groups'!$C$12:$C$14,MATCH('Load Criteria'!$B$5,'Structure Groups'!$B$12:$B$14,0),1)&amp;"'","'All'")</f>
        <v>'GL Max 800m'</v>
      </c>
      <c r="AW80" s="552" t="s">
        <v>562</v>
      </c>
      <c r="AX80" s="552"/>
      <c r="AY80" s="552" t="str">
        <f t="shared" si="18"/>
        <v>No</v>
      </c>
      <c r="AZ80" s="554" t="str">
        <f t="shared" si="19"/>
        <v/>
      </c>
      <c r="BA80" s="554" t="str">
        <f t="shared" si="20"/>
        <v/>
      </c>
      <c r="BB80" s="552" t="str">
        <f t="shared" si="21"/>
        <v/>
      </c>
      <c r="BC80" s="554"/>
      <c r="BD80" s="552"/>
      <c r="BE80" s="554"/>
      <c r="BF80" s="554"/>
      <c r="BG80" s="554"/>
      <c r="BH80" s="554"/>
      <c r="BI80" s="554"/>
      <c r="BJ80" s="554"/>
      <c r="BK80" s="554"/>
      <c r="BL80" s="554"/>
      <c r="BM80" s="554"/>
      <c r="BN80" s="554"/>
      <c r="BO80" s="554"/>
      <c r="BP80" s="554"/>
      <c r="BQ80" s="554"/>
      <c r="BR80" s="554"/>
      <c r="BS80" s="554"/>
      <c r="BT80" s="554"/>
      <c r="BU80" s="554"/>
      <c r="BV80" s="554"/>
      <c r="BW80" s="554"/>
      <c r="BX80" s="554"/>
      <c r="BY80" s="554"/>
      <c r="BZ80" s="554"/>
      <c r="CA80" s="554"/>
      <c r="CB80" s="554"/>
      <c r="CC80" s="554"/>
      <c r="CD80" s="554"/>
      <c r="CE80" s="554"/>
      <c r="CF80" s="554"/>
      <c r="CG80" s="554"/>
      <c r="CH80" s="554"/>
      <c r="CI80" s="554"/>
      <c r="CJ80" s="554"/>
      <c r="CK80" s="554"/>
      <c r="CL80" s="554"/>
      <c r="CM80" s="554"/>
      <c r="CN80" s="554"/>
      <c r="CO80" s="554"/>
      <c r="CP80" s="554"/>
      <c r="CQ80" s="554"/>
      <c r="CR80" s="554"/>
      <c r="CS80" s="554"/>
      <c r="CT80" s="554"/>
      <c r="CU80" s="554"/>
      <c r="CV80" s="554"/>
      <c r="CW80" s="554"/>
      <c r="CX80" s="554"/>
      <c r="CY80" s="554"/>
      <c r="CZ80" s="554"/>
      <c r="DA80" s="554"/>
      <c r="DB80" s="554"/>
      <c r="DC80" s="554"/>
      <c r="DD80" s="554"/>
      <c r="DE80" s="534"/>
      <c r="DF80" s="534"/>
      <c r="DG80" s="534"/>
    </row>
    <row r="81" spans="1:111" ht="15" x14ac:dyDescent="0.25">
      <c r="A81" s="549">
        <f>IF(Control!$D$5="Y","-",1)</f>
        <v>1</v>
      </c>
      <c r="B81" s="555" t="s">
        <v>558</v>
      </c>
      <c r="C81" s="555" t="s">
        <v>559</v>
      </c>
      <c r="D81" s="555" t="s">
        <v>563</v>
      </c>
      <c r="E81" s="556" t="s">
        <v>22</v>
      </c>
      <c r="F81" s="556" t="s">
        <v>22</v>
      </c>
      <c r="G81" s="556" t="str">
        <f>IFERROR(IF(MID('Load Criteria'!X81,FIND("_",'Load Criteria'!X81,1)+1,1)=LEFT(Control!$D$23,1),"YES","-"),"-")</f>
        <v>YES</v>
      </c>
      <c r="H81" s="549" t="str">
        <f>IF(INDEX('Weather Cases'!$G$10:$G$94,MATCH('Load Criteria'!X81,'Weather Cases'!$H$10:$H$94,0),1)="H","YES","")</f>
        <v>YES</v>
      </c>
      <c r="I81" s="557" t="s">
        <v>299</v>
      </c>
      <c r="J81" s="550">
        <f t="shared" si="14"/>
        <v>300</v>
      </c>
      <c r="K81" s="550" t="s">
        <v>88</v>
      </c>
      <c r="L81" s="252"/>
      <c r="M81" s="252"/>
      <c r="N81" s="252"/>
      <c r="O81" s="252"/>
      <c r="P81" s="393"/>
      <c r="Q81" s="393"/>
      <c r="R81" s="393"/>
      <c r="S81" s="393"/>
      <c r="T81" s="393"/>
      <c r="U81" s="550" t="s">
        <v>565</v>
      </c>
      <c r="V81" s="551">
        <v>15</v>
      </c>
      <c r="W81" s="542" t="str">
        <f t="shared" si="15"/>
        <v>MW0300_A8+E BI-+15</v>
      </c>
      <c r="X81" s="552" t="str">
        <f>I81&amp;TEXT(J81,"0000")&amp;"_"&amp;LEFT(Control!$D$23,1)&amp;LEFT(Control!$D$22,LEN(Control!$D$22)-2)</f>
        <v>MW0300_A8</v>
      </c>
      <c r="Y81" s="552" t="s">
        <v>433</v>
      </c>
      <c r="Z81" s="552" t="str">
        <f t="shared" si="22"/>
        <v>BI-</v>
      </c>
      <c r="AA81" s="552">
        <f t="shared" si="23"/>
        <v>15</v>
      </c>
      <c r="AB81" s="552">
        <v>1</v>
      </c>
      <c r="AC81" s="552">
        <v>1</v>
      </c>
      <c r="AD81" s="552">
        <v>1</v>
      </c>
      <c r="AE81" s="552">
        <v>1</v>
      </c>
      <c r="AF81" s="552">
        <v>1</v>
      </c>
      <c r="AG81" s="542" t="s">
        <v>561</v>
      </c>
      <c r="AH81" s="552">
        <v>0</v>
      </c>
      <c r="AI81" s="552">
        <v>0</v>
      </c>
      <c r="AJ81" s="552">
        <v>1</v>
      </c>
      <c r="AK81" s="552">
        <v>1</v>
      </c>
      <c r="AL81" s="552">
        <v>1</v>
      </c>
      <c r="AM81" s="552">
        <v>0</v>
      </c>
      <c r="AN81" s="552">
        <v>0</v>
      </c>
      <c r="AO81" s="552">
        <v>1</v>
      </c>
      <c r="AP81" s="552">
        <v>1</v>
      </c>
      <c r="AQ81" s="552">
        <v>1</v>
      </c>
      <c r="AR81" s="552">
        <v>1</v>
      </c>
      <c r="AS81" s="552">
        <v>1</v>
      </c>
      <c r="AT81" s="552">
        <v>1</v>
      </c>
      <c r="AU81" s="552">
        <v>1</v>
      </c>
      <c r="AV81" s="553" t="str">
        <f>IF(H81="YES","'"&amp;INDEX('Structure Groups'!$C$12:$C$14,MATCH('Load Criteria'!$B$5,'Structure Groups'!$B$12:$B$14,0),1)&amp;"'","'All'")</f>
        <v>'GL Max 800m'</v>
      </c>
      <c r="AW81" s="552" t="s">
        <v>562</v>
      </c>
      <c r="AX81" s="552"/>
      <c r="AY81" s="552" t="str">
        <f t="shared" si="18"/>
        <v>No</v>
      </c>
      <c r="AZ81" s="554" t="str">
        <f t="shared" si="19"/>
        <v/>
      </c>
      <c r="BA81" s="554" t="str">
        <f t="shared" si="20"/>
        <v/>
      </c>
      <c r="BB81" s="552" t="str">
        <f t="shared" si="21"/>
        <v/>
      </c>
      <c r="BC81" s="554"/>
      <c r="BD81" s="552"/>
      <c r="BE81" s="554"/>
      <c r="BF81" s="554"/>
      <c r="BG81" s="554"/>
      <c r="BH81" s="554"/>
      <c r="BI81" s="554"/>
      <c r="BJ81" s="554"/>
      <c r="BK81" s="554"/>
      <c r="BL81" s="554"/>
      <c r="BM81" s="554"/>
      <c r="BN81" s="554"/>
      <c r="BO81" s="554"/>
      <c r="BP81" s="554"/>
      <c r="BQ81" s="554"/>
      <c r="BR81" s="554"/>
      <c r="BS81" s="554"/>
      <c r="BT81" s="554"/>
      <c r="BU81" s="554"/>
      <c r="BV81" s="554"/>
      <c r="BW81" s="554"/>
      <c r="BX81" s="554"/>
      <c r="BY81" s="554"/>
      <c r="BZ81" s="554"/>
      <c r="CA81" s="554"/>
      <c r="CB81" s="554"/>
      <c r="CC81" s="554"/>
      <c r="CD81" s="554"/>
      <c r="CE81" s="554"/>
      <c r="CF81" s="554"/>
      <c r="CG81" s="554"/>
      <c r="CH81" s="554"/>
      <c r="CI81" s="554"/>
      <c r="CJ81" s="554"/>
      <c r="CK81" s="554"/>
      <c r="CL81" s="554"/>
      <c r="CM81" s="554"/>
      <c r="CN81" s="554"/>
      <c r="CO81" s="554"/>
      <c r="CP81" s="554"/>
      <c r="CQ81" s="554"/>
      <c r="CR81" s="554"/>
      <c r="CS81" s="554"/>
      <c r="CT81" s="554"/>
      <c r="CU81" s="554"/>
      <c r="CV81" s="554"/>
      <c r="CW81" s="554"/>
      <c r="CX81" s="554"/>
      <c r="CY81" s="554"/>
      <c r="CZ81" s="554"/>
      <c r="DA81" s="554"/>
      <c r="DB81" s="554"/>
      <c r="DC81" s="554"/>
      <c r="DD81" s="554"/>
      <c r="DE81" s="534"/>
      <c r="DF81" s="534"/>
      <c r="DG81" s="534"/>
    </row>
    <row r="82" spans="1:111" ht="15" x14ac:dyDescent="0.25">
      <c r="A82" s="549">
        <f>IF(Control!$D$5="Y","-",1)</f>
        <v>1</v>
      </c>
      <c r="B82" s="555" t="s">
        <v>558</v>
      </c>
      <c r="C82" s="555" t="s">
        <v>559</v>
      </c>
      <c r="D82" s="555" t="s">
        <v>563</v>
      </c>
      <c r="E82" s="556" t="s">
        <v>22</v>
      </c>
      <c r="F82" s="556" t="s">
        <v>22</v>
      </c>
      <c r="G82" s="556" t="str">
        <f>IFERROR(IF(MID('Load Criteria'!X82,FIND("_",'Load Criteria'!X82,1)+1,1)=LEFT(Control!$D$23,1),"YES","-"),"-")</f>
        <v>YES</v>
      </c>
      <c r="H82" s="549" t="str">
        <f>IF(INDEX('Weather Cases'!$G$10:$G$94,MATCH('Load Criteria'!X82,'Weather Cases'!$H$10:$H$94,0),1)="H","YES","")</f>
        <v>YES</v>
      </c>
      <c r="I82" s="557" t="s">
        <v>299</v>
      </c>
      <c r="J82" s="550">
        <f t="shared" si="14"/>
        <v>300</v>
      </c>
      <c r="K82" s="550" t="s">
        <v>88</v>
      </c>
      <c r="L82" s="252"/>
      <c r="M82" s="252"/>
      <c r="N82" s="252"/>
      <c r="O82" s="252"/>
      <c r="P82" s="393"/>
      <c r="Q82" s="393"/>
      <c r="R82" s="393"/>
      <c r="S82" s="393"/>
      <c r="T82" s="393"/>
      <c r="U82" s="550" t="s">
        <v>565</v>
      </c>
      <c r="V82" s="551">
        <v>0</v>
      </c>
      <c r="W82" s="542" t="str">
        <f t="shared" si="15"/>
        <v>MW0300_A8+E BI-+00</v>
      </c>
      <c r="X82" s="552" t="str">
        <f>I82&amp;TEXT(J82,"0000")&amp;"_"&amp;LEFT(Control!$D$23,1)&amp;LEFT(Control!$D$22,LEN(Control!$D$22)-2)</f>
        <v>MW0300_A8</v>
      </c>
      <c r="Y82" s="552" t="s">
        <v>433</v>
      </c>
      <c r="Z82" s="552" t="str">
        <f t="shared" si="22"/>
        <v>BI-</v>
      </c>
      <c r="AA82" s="552">
        <f t="shared" si="23"/>
        <v>0</v>
      </c>
      <c r="AB82" s="552">
        <v>1</v>
      </c>
      <c r="AC82" s="552">
        <v>1</v>
      </c>
      <c r="AD82" s="552">
        <v>1</v>
      </c>
      <c r="AE82" s="552">
        <v>1</v>
      </c>
      <c r="AF82" s="552">
        <v>1</v>
      </c>
      <c r="AG82" s="542" t="s">
        <v>561</v>
      </c>
      <c r="AH82" s="552">
        <v>0</v>
      </c>
      <c r="AI82" s="552">
        <v>0</v>
      </c>
      <c r="AJ82" s="552">
        <v>1</v>
      </c>
      <c r="AK82" s="552">
        <v>1</v>
      </c>
      <c r="AL82" s="552">
        <v>1</v>
      </c>
      <c r="AM82" s="552">
        <v>0</v>
      </c>
      <c r="AN82" s="552">
        <v>0</v>
      </c>
      <c r="AO82" s="552">
        <v>1</v>
      </c>
      <c r="AP82" s="552">
        <v>1</v>
      </c>
      <c r="AQ82" s="552">
        <v>1</v>
      </c>
      <c r="AR82" s="552">
        <v>1</v>
      </c>
      <c r="AS82" s="552">
        <v>1</v>
      </c>
      <c r="AT82" s="552">
        <v>1</v>
      </c>
      <c r="AU82" s="552">
        <v>1</v>
      </c>
      <c r="AV82" s="553" t="str">
        <f>IF(H82="YES","'"&amp;INDEX('Structure Groups'!$C$12:$C$14,MATCH('Load Criteria'!$B$5,'Structure Groups'!$B$12:$B$14,0),1)&amp;"'","'All'")</f>
        <v>'GL Max 800m'</v>
      </c>
      <c r="AW82" s="552" t="s">
        <v>562</v>
      </c>
      <c r="AX82" s="552"/>
      <c r="AY82" s="552" t="str">
        <f t="shared" si="18"/>
        <v>No</v>
      </c>
      <c r="AZ82" s="554" t="str">
        <f t="shared" si="19"/>
        <v/>
      </c>
      <c r="BA82" s="554" t="str">
        <f t="shared" si="20"/>
        <v/>
      </c>
      <c r="BB82" s="552" t="str">
        <f t="shared" si="21"/>
        <v/>
      </c>
      <c r="BC82" s="554"/>
      <c r="BD82" s="552"/>
      <c r="BE82" s="554"/>
      <c r="BF82" s="554"/>
      <c r="BG82" s="554"/>
      <c r="BH82" s="554"/>
      <c r="BI82" s="554"/>
      <c r="BJ82" s="554"/>
      <c r="BK82" s="554"/>
      <c r="BL82" s="554"/>
      <c r="BM82" s="554"/>
      <c r="BN82" s="554"/>
      <c r="BO82" s="554"/>
      <c r="BP82" s="554"/>
      <c r="BQ82" s="554"/>
      <c r="BR82" s="554"/>
      <c r="BS82" s="554"/>
      <c r="BT82" s="554"/>
      <c r="BU82" s="554"/>
      <c r="BV82" s="554"/>
      <c r="BW82" s="554"/>
      <c r="BX82" s="554"/>
      <c r="BY82" s="554"/>
      <c r="BZ82" s="554"/>
      <c r="CA82" s="554"/>
      <c r="CB82" s="554"/>
      <c r="CC82" s="554"/>
      <c r="CD82" s="554"/>
      <c r="CE82" s="554"/>
      <c r="CF82" s="554"/>
      <c r="CG82" s="554"/>
      <c r="CH82" s="554"/>
      <c r="CI82" s="554"/>
      <c r="CJ82" s="554"/>
      <c r="CK82" s="554"/>
      <c r="CL82" s="554"/>
      <c r="CM82" s="554"/>
      <c r="CN82" s="554"/>
      <c r="CO82" s="554"/>
      <c r="CP82" s="554"/>
      <c r="CQ82" s="554"/>
      <c r="CR82" s="554"/>
      <c r="CS82" s="554"/>
      <c r="CT82" s="554"/>
      <c r="CU82" s="554"/>
      <c r="CV82" s="554"/>
      <c r="CW82" s="554"/>
      <c r="CX82" s="554"/>
      <c r="CY82" s="554"/>
      <c r="CZ82" s="554"/>
      <c r="DA82" s="554"/>
      <c r="DB82" s="554"/>
      <c r="DC82" s="554"/>
      <c r="DD82" s="554"/>
      <c r="DE82" s="534"/>
      <c r="DF82" s="534"/>
      <c r="DG82" s="534"/>
    </row>
    <row r="83" spans="1:111" ht="15" x14ac:dyDescent="0.25">
      <c r="A83" s="549">
        <f>IF(Control!$D$5="Y","-",1)</f>
        <v>1</v>
      </c>
      <c r="B83" s="555" t="s">
        <v>558</v>
      </c>
      <c r="C83" s="555" t="s">
        <v>559</v>
      </c>
      <c r="D83" s="555" t="s">
        <v>563</v>
      </c>
      <c r="E83" s="556" t="s">
        <v>22</v>
      </c>
      <c r="F83" s="556" t="s">
        <v>22</v>
      </c>
      <c r="G83" s="556" t="str">
        <f>IFERROR(IF(MID('Load Criteria'!X83,FIND("_",'Load Criteria'!X83,1)+1,1)=LEFT(Control!$D$23,1),"YES","-"),"-")</f>
        <v>YES</v>
      </c>
      <c r="H83" s="549" t="str">
        <f>IF(INDEX('Weather Cases'!$G$10:$G$94,MATCH('Load Criteria'!X83,'Weather Cases'!$H$10:$H$94,0),1)="H","YES","")</f>
        <v>YES</v>
      </c>
      <c r="I83" s="557" t="s">
        <v>299</v>
      </c>
      <c r="J83" s="550">
        <f t="shared" si="14"/>
        <v>300</v>
      </c>
      <c r="K83" s="550" t="s">
        <v>88</v>
      </c>
      <c r="L83" s="252"/>
      <c r="M83" s="252"/>
      <c r="N83" s="252"/>
      <c r="O83" s="252"/>
      <c r="P83" s="393"/>
      <c r="Q83" s="393"/>
      <c r="R83" s="393"/>
      <c r="S83" s="393"/>
      <c r="T83" s="393"/>
      <c r="U83" s="550" t="s">
        <v>565</v>
      </c>
      <c r="V83" s="551">
        <v>-15</v>
      </c>
      <c r="W83" s="542" t="str">
        <f t="shared" si="15"/>
        <v>MW0300_A8+E BI--15</v>
      </c>
      <c r="X83" s="552" t="str">
        <f>I83&amp;TEXT(J83,"0000")&amp;"_"&amp;LEFT(Control!$D$23,1)&amp;LEFT(Control!$D$22,LEN(Control!$D$22)-2)</f>
        <v>MW0300_A8</v>
      </c>
      <c r="Y83" s="552" t="s">
        <v>433</v>
      </c>
      <c r="Z83" s="552" t="str">
        <f t="shared" si="22"/>
        <v>BI-</v>
      </c>
      <c r="AA83" s="552">
        <f t="shared" si="23"/>
        <v>-15</v>
      </c>
      <c r="AB83" s="552">
        <v>1</v>
      </c>
      <c r="AC83" s="552">
        <v>1</v>
      </c>
      <c r="AD83" s="552">
        <v>1</v>
      </c>
      <c r="AE83" s="552">
        <v>1</v>
      </c>
      <c r="AF83" s="552">
        <v>1</v>
      </c>
      <c r="AG83" s="542" t="s">
        <v>561</v>
      </c>
      <c r="AH83" s="552">
        <v>0</v>
      </c>
      <c r="AI83" s="552">
        <v>0</v>
      </c>
      <c r="AJ83" s="552">
        <v>1</v>
      </c>
      <c r="AK83" s="552">
        <v>1</v>
      </c>
      <c r="AL83" s="552">
        <v>1</v>
      </c>
      <c r="AM83" s="552">
        <v>0</v>
      </c>
      <c r="AN83" s="552">
        <v>0</v>
      </c>
      <c r="AO83" s="552">
        <v>1</v>
      </c>
      <c r="AP83" s="552">
        <v>1</v>
      </c>
      <c r="AQ83" s="552">
        <v>1</v>
      </c>
      <c r="AR83" s="552">
        <v>1</v>
      </c>
      <c r="AS83" s="552">
        <v>1</v>
      </c>
      <c r="AT83" s="552">
        <v>1</v>
      </c>
      <c r="AU83" s="552">
        <v>1</v>
      </c>
      <c r="AV83" s="553" t="str">
        <f>IF(H83="YES","'"&amp;INDEX('Structure Groups'!$C$12:$C$14,MATCH('Load Criteria'!$B$5,'Structure Groups'!$B$12:$B$14,0),1)&amp;"'","'All'")</f>
        <v>'GL Max 800m'</v>
      </c>
      <c r="AW83" s="552" t="s">
        <v>562</v>
      </c>
      <c r="AX83" s="552"/>
      <c r="AY83" s="552" t="str">
        <f t="shared" si="18"/>
        <v>No</v>
      </c>
      <c r="AZ83" s="554" t="str">
        <f t="shared" si="19"/>
        <v/>
      </c>
      <c r="BA83" s="554" t="str">
        <f t="shared" si="20"/>
        <v/>
      </c>
      <c r="BB83" s="552" t="str">
        <f t="shared" si="21"/>
        <v/>
      </c>
      <c r="BC83" s="554"/>
      <c r="BD83" s="552"/>
      <c r="BE83" s="554"/>
      <c r="BF83" s="554"/>
      <c r="BG83" s="554"/>
      <c r="BH83" s="554"/>
      <c r="BI83" s="554"/>
      <c r="BJ83" s="554"/>
      <c r="BK83" s="554"/>
      <c r="BL83" s="554"/>
      <c r="BM83" s="554"/>
      <c r="BN83" s="554"/>
      <c r="BO83" s="554"/>
      <c r="BP83" s="554"/>
      <c r="BQ83" s="554"/>
      <c r="BR83" s="554"/>
      <c r="BS83" s="554"/>
      <c r="BT83" s="554"/>
      <c r="BU83" s="554"/>
      <c r="BV83" s="554"/>
      <c r="BW83" s="554"/>
      <c r="BX83" s="554"/>
      <c r="BY83" s="554"/>
      <c r="BZ83" s="554"/>
      <c r="CA83" s="554"/>
      <c r="CB83" s="554"/>
      <c r="CC83" s="554"/>
      <c r="CD83" s="554"/>
      <c r="CE83" s="554"/>
      <c r="CF83" s="554"/>
      <c r="CG83" s="554"/>
      <c r="CH83" s="554"/>
      <c r="CI83" s="554"/>
      <c r="CJ83" s="554"/>
      <c r="CK83" s="554"/>
      <c r="CL83" s="554"/>
      <c r="CM83" s="554"/>
      <c r="CN83" s="554"/>
      <c r="CO83" s="554"/>
      <c r="CP83" s="554"/>
      <c r="CQ83" s="554"/>
      <c r="CR83" s="554"/>
      <c r="CS83" s="554"/>
      <c r="CT83" s="554"/>
      <c r="CU83" s="554"/>
      <c r="CV83" s="554"/>
      <c r="CW83" s="554"/>
      <c r="CX83" s="554"/>
      <c r="CY83" s="554"/>
      <c r="CZ83" s="554"/>
      <c r="DA83" s="554"/>
      <c r="DB83" s="554"/>
      <c r="DC83" s="554"/>
      <c r="DD83" s="554"/>
      <c r="DE83" s="534"/>
      <c r="DF83" s="534"/>
      <c r="DG83" s="534"/>
    </row>
    <row r="84" spans="1:111" ht="15" x14ac:dyDescent="0.25">
      <c r="A84" s="549">
        <f>IF(Control!$D$5="Y","-",1)</f>
        <v>1</v>
      </c>
      <c r="B84" s="555" t="s">
        <v>558</v>
      </c>
      <c r="C84" s="555" t="s">
        <v>559</v>
      </c>
      <c r="D84" s="555" t="s">
        <v>563</v>
      </c>
      <c r="E84" s="556" t="s">
        <v>22</v>
      </c>
      <c r="F84" s="556" t="s">
        <v>22</v>
      </c>
      <c r="G84" s="556" t="str">
        <f>IFERROR(IF(MID('Load Criteria'!X84,FIND("_",'Load Criteria'!X84,1)+1,1)=LEFT(Control!$D$23,1),"YES","-"),"-")</f>
        <v>YES</v>
      </c>
      <c r="H84" s="549" t="str">
        <f>IF(INDEX('Weather Cases'!$G$10:$G$94,MATCH('Load Criteria'!X84,'Weather Cases'!$H$10:$H$94,0),1)="H","YES","")</f>
        <v>YES</v>
      </c>
      <c r="I84" s="557" t="s">
        <v>299</v>
      </c>
      <c r="J84" s="550">
        <f t="shared" si="14"/>
        <v>300</v>
      </c>
      <c r="K84" s="550" t="s">
        <v>88</v>
      </c>
      <c r="L84" s="252"/>
      <c r="M84" s="252"/>
      <c r="N84" s="252"/>
      <c r="O84" s="252"/>
      <c r="P84" s="393"/>
      <c r="Q84" s="393"/>
      <c r="R84" s="393"/>
      <c r="S84" s="393"/>
      <c r="T84" s="393"/>
      <c r="U84" s="550" t="s">
        <v>565</v>
      </c>
      <c r="V84" s="551">
        <v>-30</v>
      </c>
      <c r="W84" s="542" t="str">
        <f t="shared" si="15"/>
        <v>MW0300_A8+E BI--30</v>
      </c>
      <c r="X84" s="552" t="str">
        <f>I84&amp;TEXT(J84,"0000")&amp;"_"&amp;LEFT(Control!$D$23,1)&amp;LEFT(Control!$D$22,LEN(Control!$D$22)-2)</f>
        <v>MW0300_A8</v>
      </c>
      <c r="Y84" s="552" t="s">
        <v>433</v>
      </c>
      <c r="Z84" s="552" t="str">
        <f t="shared" si="22"/>
        <v>BI-</v>
      </c>
      <c r="AA84" s="552">
        <f t="shared" si="23"/>
        <v>-30</v>
      </c>
      <c r="AB84" s="552">
        <v>1</v>
      </c>
      <c r="AC84" s="552">
        <v>1</v>
      </c>
      <c r="AD84" s="552">
        <v>1</v>
      </c>
      <c r="AE84" s="552">
        <v>1</v>
      </c>
      <c r="AF84" s="552">
        <v>1</v>
      </c>
      <c r="AG84" s="542" t="s">
        <v>561</v>
      </c>
      <c r="AH84" s="552">
        <v>0</v>
      </c>
      <c r="AI84" s="552">
        <v>0</v>
      </c>
      <c r="AJ84" s="552">
        <v>1</v>
      </c>
      <c r="AK84" s="552">
        <v>1</v>
      </c>
      <c r="AL84" s="552">
        <v>1</v>
      </c>
      <c r="AM84" s="552">
        <v>0</v>
      </c>
      <c r="AN84" s="552">
        <v>0</v>
      </c>
      <c r="AO84" s="552">
        <v>1</v>
      </c>
      <c r="AP84" s="552">
        <v>1</v>
      </c>
      <c r="AQ84" s="552">
        <v>1</v>
      </c>
      <c r="AR84" s="552">
        <v>1</v>
      </c>
      <c r="AS84" s="552">
        <v>1</v>
      </c>
      <c r="AT84" s="552">
        <v>1</v>
      </c>
      <c r="AU84" s="552">
        <v>1</v>
      </c>
      <c r="AV84" s="553" t="str">
        <f>IF(H84="YES","'"&amp;INDEX('Structure Groups'!$C$12:$C$14,MATCH('Load Criteria'!$B$5,'Structure Groups'!$B$12:$B$14,0),1)&amp;"'","'All'")</f>
        <v>'GL Max 800m'</v>
      </c>
      <c r="AW84" s="552" t="s">
        <v>562</v>
      </c>
      <c r="AX84" s="552"/>
      <c r="AY84" s="552" t="str">
        <f t="shared" si="18"/>
        <v>No</v>
      </c>
      <c r="AZ84" s="554" t="str">
        <f t="shared" si="19"/>
        <v/>
      </c>
      <c r="BA84" s="554" t="str">
        <f t="shared" si="20"/>
        <v/>
      </c>
      <c r="BB84" s="552" t="str">
        <f t="shared" si="21"/>
        <v/>
      </c>
      <c r="BC84" s="554"/>
      <c r="BD84" s="552"/>
      <c r="BE84" s="554"/>
      <c r="BF84" s="554"/>
      <c r="BG84" s="554"/>
      <c r="BH84" s="554"/>
      <c r="BI84" s="554"/>
      <c r="BJ84" s="554"/>
      <c r="BK84" s="554"/>
      <c r="BL84" s="554"/>
      <c r="BM84" s="554"/>
      <c r="BN84" s="554"/>
      <c r="BO84" s="554"/>
      <c r="BP84" s="554"/>
      <c r="BQ84" s="554"/>
      <c r="BR84" s="554"/>
      <c r="BS84" s="554"/>
      <c r="BT84" s="554"/>
      <c r="BU84" s="554"/>
      <c r="BV84" s="554"/>
      <c r="BW84" s="554"/>
      <c r="BX84" s="554"/>
      <c r="BY84" s="554"/>
      <c r="BZ84" s="554"/>
      <c r="CA84" s="554"/>
      <c r="CB84" s="554"/>
      <c r="CC84" s="554"/>
      <c r="CD84" s="554"/>
      <c r="CE84" s="554"/>
      <c r="CF84" s="554"/>
      <c r="CG84" s="554"/>
      <c r="CH84" s="554"/>
      <c r="CI84" s="554"/>
      <c r="CJ84" s="554"/>
      <c r="CK84" s="554"/>
      <c r="CL84" s="554"/>
      <c r="CM84" s="554"/>
      <c r="CN84" s="554"/>
      <c r="CO84" s="554"/>
      <c r="CP84" s="554"/>
      <c r="CQ84" s="554"/>
      <c r="CR84" s="554"/>
      <c r="CS84" s="554"/>
      <c r="CT84" s="554"/>
      <c r="CU84" s="554"/>
      <c r="CV84" s="554"/>
      <c r="CW84" s="554"/>
      <c r="CX84" s="554"/>
      <c r="CY84" s="554"/>
      <c r="CZ84" s="554"/>
      <c r="DA84" s="554"/>
      <c r="DB84" s="554"/>
      <c r="DC84" s="554"/>
      <c r="DD84" s="554"/>
      <c r="DE84" s="534"/>
      <c r="DF84" s="534"/>
      <c r="DG84" s="534"/>
    </row>
    <row r="85" spans="1:111" ht="15" x14ac:dyDescent="0.25">
      <c r="A85" s="549">
        <f>IF(Control!$D$5="Y","-",1)</f>
        <v>1</v>
      </c>
      <c r="B85" s="555" t="s">
        <v>558</v>
      </c>
      <c r="C85" s="555" t="s">
        <v>559</v>
      </c>
      <c r="D85" s="555" t="s">
        <v>563</v>
      </c>
      <c r="E85" s="556" t="s">
        <v>22</v>
      </c>
      <c r="F85" s="556" t="s">
        <v>22</v>
      </c>
      <c r="G85" s="556" t="str">
        <f>IFERROR(IF(MID('Load Criteria'!X85,FIND("_",'Load Criteria'!X85,1)+1,1)=LEFT(Control!$D$23,1),"YES","-"),"-")</f>
        <v>YES</v>
      </c>
      <c r="H85" s="549" t="str">
        <f>IF(INDEX('Weather Cases'!$G$10:$G$94,MATCH('Load Criteria'!X85,'Weather Cases'!$H$10:$H$94,0),1)="H","YES","")</f>
        <v>YES</v>
      </c>
      <c r="I85" s="557" t="s">
        <v>299</v>
      </c>
      <c r="J85" s="550">
        <f t="shared" si="14"/>
        <v>300</v>
      </c>
      <c r="K85" s="550" t="s">
        <v>88</v>
      </c>
      <c r="L85" s="252"/>
      <c r="M85" s="252"/>
      <c r="N85" s="252"/>
      <c r="O85" s="252"/>
      <c r="P85" s="393"/>
      <c r="Q85" s="393"/>
      <c r="R85" s="393"/>
      <c r="S85" s="393"/>
      <c r="T85" s="393"/>
      <c r="U85" s="550" t="s">
        <v>565</v>
      </c>
      <c r="V85" s="551">
        <v>-45</v>
      </c>
      <c r="W85" s="542" t="str">
        <f t="shared" si="15"/>
        <v>MW0300_A8+E BI--45</v>
      </c>
      <c r="X85" s="552" t="str">
        <f>I85&amp;TEXT(J85,"0000")&amp;"_"&amp;LEFT(Control!$D$23,1)&amp;LEFT(Control!$D$22,LEN(Control!$D$22)-2)</f>
        <v>MW0300_A8</v>
      </c>
      <c r="Y85" s="552" t="s">
        <v>433</v>
      </c>
      <c r="Z85" s="552" t="str">
        <f t="shared" si="22"/>
        <v>BI-</v>
      </c>
      <c r="AA85" s="552">
        <f t="shared" si="23"/>
        <v>-45</v>
      </c>
      <c r="AB85" s="552">
        <v>1</v>
      </c>
      <c r="AC85" s="552">
        <v>1</v>
      </c>
      <c r="AD85" s="552">
        <v>1</v>
      </c>
      <c r="AE85" s="552">
        <v>1</v>
      </c>
      <c r="AF85" s="552">
        <v>1</v>
      </c>
      <c r="AG85" s="542" t="s">
        <v>561</v>
      </c>
      <c r="AH85" s="552">
        <v>0</v>
      </c>
      <c r="AI85" s="552">
        <v>0</v>
      </c>
      <c r="AJ85" s="552">
        <v>1</v>
      </c>
      <c r="AK85" s="552">
        <v>1</v>
      </c>
      <c r="AL85" s="552">
        <v>1</v>
      </c>
      <c r="AM85" s="552">
        <v>0</v>
      </c>
      <c r="AN85" s="552">
        <v>0</v>
      </c>
      <c r="AO85" s="552">
        <v>1</v>
      </c>
      <c r="AP85" s="552">
        <v>1</v>
      </c>
      <c r="AQ85" s="552">
        <v>1</v>
      </c>
      <c r="AR85" s="552">
        <v>1</v>
      </c>
      <c r="AS85" s="552">
        <v>1</v>
      </c>
      <c r="AT85" s="552">
        <v>1</v>
      </c>
      <c r="AU85" s="552">
        <v>1</v>
      </c>
      <c r="AV85" s="553" t="str">
        <f>IF(H85="YES","'"&amp;INDEX('Structure Groups'!$C$12:$C$14,MATCH('Load Criteria'!$B$5,'Structure Groups'!$B$12:$B$14,0),1)&amp;"'","'All'")</f>
        <v>'GL Max 800m'</v>
      </c>
      <c r="AW85" s="552" t="s">
        <v>562</v>
      </c>
      <c r="AX85" s="552"/>
      <c r="AY85" s="552" t="str">
        <f t="shared" si="18"/>
        <v>No</v>
      </c>
      <c r="AZ85" s="554" t="str">
        <f t="shared" si="19"/>
        <v/>
      </c>
      <c r="BA85" s="554" t="str">
        <f t="shared" si="20"/>
        <v/>
      </c>
      <c r="BB85" s="552" t="str">
        <f t="shared" si="21"/>
        <v/>
      </c>
      <c r="BC85" s="554"/>
      <c r="BD85" s="552"/>
      <c r="BE85" s="554"/>
      <c r="BF85" s="554"/>
      <c r="BG85" s="554"/>
      <c r="BH85" s="554"/>
      <c r="BI85" s="554"/>
      <c r="BJ85" s="554"/>
      <c r="BK85" s="554"/>
      <c r="BL85" s="554"/>
      <c r="BM85" s="554"/>
      <c r="BN85" s="554"/>
      <c r="BO85" s="554"/>
      <c r="BP85" s="554"/>
      <c r="BQ85" s="554"/>
      <c r="BR85" s="554"/>
      <c r="BS85" s="554"/>
      <c r="BT85" s="554"/>
      <c r="BU85" s="554"/>
      <c r="BV85" s="554"/>
      <c r="BW85" s="554"/>
      <c r="BX85" s="554"/>
      <c r="BY85" s="554"/>
      <c r="BZ85" s="554"/>
      <c r="CA85" s="554"/>
      <c r="CB85" s="554"/>
      <c r="CC85" s="554"/>
      <c r="CD85" s="554"/>
      <c r="CE85" s="554"/>
      <c r="CF85" s="554"/>
      <c r="CG85" s="554"/>
      <c r="CH85" s="554"/>
      <c r="CI85" s="554"/>
      <c r="CJ85" s="554"/>
      <c r="CK85" s="554"/>
      <c r="CL85" s="554"/>
      <c r="CM85" s="554"/>
      <c r="CN85" s="554"/>
      <c r="CO85" s="554"/>
      <c r="CP85" s="554"/>
      <c r="CQ85" s="554"/>
      <c r="CR85" s="554"/>
      <c r="CS85" s="554"/>
      <c r="CT85" s="554"/>
      <c r="CU85" s="554"/>
      <c r="CV85" s="554"/>
      <c r="CW85" s="554"/>
      <c r="CX85" s="554"/>
      <c r="CY85" s="554"/>
      <c r="CZ85" s="554"/>
      <c r="DA85" s="554"/>
      <c r="DB85" s="554"/>
      <c r="DC85" s="554"/>
      <c r="DD85" s="554"/>
      <c r="DE85" s="534"/>
      <c r="DF85" s="534"/>
      <c r="DG85" s="534"/>
    </row>
    <row r="86" spans="1:111" ht="15" x14ac:dyDescent="0.25">
      <c r="A86" s="549">
        <f>IF(Control!$D$5="Y","-",1)</f>
        <v>1</v>
      </c>
      <c r="B86" s="555" t="s">
        <v>558</v>
      </c>
      <c r="C86" s="555" t="s">
        <v>559</v>
      </c>
      <c r="D86" s="555" t="s">
        <v>563</v>
      </c>
      <c r="E86" s="556" t="s">
        <v>22</v>
      </c>
      <c r="F86" s="556" t="s">
        <v>22</v>
      </c>
      <c r="G86" s="556" t="str">
        <f>IFERROR(IF(MID('Load Criteria'!X86,FIND("_",'Load Criteria'!X86,1)+1,1)=LEFT(Control!$D$23,1),"YES","-"),"-")</f>
        <v>YES</v>
      </c>
      <c r="H86" s="549" t="str">
        <f>IF(INDEX('Weather Cases'!$G$10:$G$94,MATCH('Load Criteria'!X86,'Weather Cases'!$H$10:$H$94,0),1)="H","YES","")</f>
        <v>YES</v>
      </c>
      <c r="I86" s="557" t="s">
        <v>299</v>
      </c>
      <c r="J86" s="550">
        <f t="shared" si="14"/>
        <v>300</v>
      </c>
      <c r="K86" s="550" t="s">
        <v>88</v>
      </c>
      <c r="L86" s="252"/>
      <c r="M86" s="252"/>
      <c r="N86" s="252"/>
      <c r="O86" s="252"/>
      <c r="P86" s="393"/>
      <c r="Q86" s="393"/>
      <c r="R86" s="393"/>
      <c r="S86" s="393"/>
      <c r="T86" s="393"/>
      <c r="U86" s="550" t="s">
        <v>565</v>
      </c>
      <c r="V86" s="551">
        <v>-90</v>
      </c>
      <c r="W86" s="542" t="str">
        <f t="shared" si="15"/>
        <v>MW0300_A8+E BI--90</v>
      </c>
      <c r="X86" s="552" t="str">
        <f>I86&amp;TEXT(J86,"0000")&amp;"_"&amp;LEFT(Control!$D$23,1)&amp;LEFT(Control!$D$22,LEN(Control!$D$22)-2)</f>
        <v>MW0300_A8</v>
      </c>
      <c r="Y86" s="552" t="s">
        <v>433</v>
      </c>
      <c r="Z86" s="552" t="str">
        <f t="shared" si="22"/>
        <v>BI-</v>
      </c>
      <c r="AA86" s="552">
        <f t="shared" si="23"/>
        <v>-90</v>
      </c>
      <c r="AB86" s="552">
        <v>1</v>
      </c>
      <c r="AC86" s="552">
        <v>1</v>
      </c>
      <c r="AD86" s="552">
        <v>1</v>
      </c>
      <c r="AE86" s="552">
        <v>1</v>
      </c>
      <c r="AF86" s="552">
        <v>1</v>
      </c>
      <c r="AG86" s="542" t="s">
        <v>561</v>
      </c>
      <c r="AH86" s="552">
        <v>0</v>
      </c>
      <c r="AI86" s="552">
        <v>0</v>
      </c>
      <c r="AJ86" s="552">
        <v>1</v>
      </c>
      <c r="AK86" s="552">
        <v>1</v>
      </c>
      <c r="AL86" s="552">
        <v>1</v>
      </c>
      <c r="AM86" s="552">
        <v>0</v>
      </c>
      <c r="AN86" s="552">
        <v>0</v>
      </c>
      <c r="AO86" s="552">
        <v>1</v>
      </c>
      <c r="AP86" s="552">
        <v>1</v>
      </c>
      <c r="AQ86" s="552">
        <v>1</v>
      </c>
      <c r="AR86" s="552">
        <v>1</v>
      </c>
      <c r="AS86" s="552">
        <v>1</v>
      </c>
      <c r="AT86" s="552">
        <v>1</v>
      </c>
      <c r="AU86" s="552">
        <v>1</v>
      </c>
      <c r="AV86" s="553" t="str">
        <f>IF(H86="YES","'"&amp;INDEX('Structure Groups'!$C$12:$C$14,MATCH('Load Criteria'!$B$5,'Structure Groups'!$B$12:$B$14,0),1)&amp;"'","'All'")</f>
        <v>'GL Max 800m'</v>
      </c>
      <c r="AW86" s="552" t="s">
        <v>562</v>
      </c>
      <c r="AX86" s="552"/>
      <c r="AY86" s="552" t="str">
        <f t="shared" si="18"/>
        <v>No</v>
      </c>
      <c r="AZ86" s="554" t="str">
        <f t="shared" si="19"/>
        <v/>
      </c>
      <c r="BA86" s="554" t="str">
        <f t="shared" ref="BA86:BA121" si="24">IF(AZ86="","","% Wire Wind Pressure")</f>
        <v/>
      </c>
      <c r="BB86" s="552" t="str">
        <f t="shared" ref="BB86:BB121" si="25">IF(AZ86="","",75)</f>
        <v/>
      </c>
      <c r="BC86" s="554"/>
      <c r="BD86" s="552"/>
      <c r="BE86" s="554"/>
      <c r="BF86" s="554"/>
      <c r="BG86" s="554"/>
      <c r="BH86" s="554"/>
      <c r="BI86" s="554"/>
      <c r="BJ86" s="554"/>
      <c r="BK86" s="554"/>
      <c r="BL86" s="554"/>
      <c r="BM86" s="554"/>
      <c r="BN86" s="554"/>
      <c r="BO86" s="554"/>
      <c r="BP86" s="554"/>
      <c r="BQ86" s="554"/>
      <c r="BR86" s="554"/>
      <c r="BS86" s="554"/>
      <c r="BT86" s="554"/>
      <c r="BU86" s="554"/>
      <c r="BV86" s="554"/>
      <c r="BW86" s="554"/>
      <c r="BX86" s="554"/>
      <c r="BY86" s="554"/>
      <c r="BZ86" s="554"/>
      <c r="CA86" s="554"/>
      <c r="CB86" s="554"/>
      <c r="CC86" s="554"/>
      <c r="CD86" s="554"/>
      <c r="CE86" s="554"/>
      <c r="CF86" s="554"/>
      <c r="CG86" s="554"/>
      <c r="CH86" s="554"/>
      <c r="CI86" s="554"/>
      <c r="CJ86" s="554"/>
      <c r="CK86" s="554"/>
      <c r="CL86" s="554"/>
      <c r="CM86" s="554"/>
      <c r="CN86" s="554"/>
      <c r="CO86" s="554"/>
      <c r="CP86" s="554"/>
      <c r="CQ86" s="554"/>
      <c r="CR86" s="554"/>
      <c r="CS86" s="554"/>
      <c r="CT86" s="554"/>
      <c r="CU86" s="554"/>
      <c r="CV86" s="554"/>
      <c r="CW86" s="554"/>
      <c r="CX86" s="554"/>
      <c r="CY86" s="554"/>
      <c r="CZ86" s="554"/>
      <c r="DA86" s="554"/>
      <c r="DB86" s="554"/>
      <c r="DC86" s="554"/>
      <c r="DD86" s="554"/>
      <c r="DE86" s="534"/>
      <c r="DF86" s="534"/>
      <c r="DG86" s="534"/>
    </row>
    <row r="87" spans="1:111" ht="15" x14ac:dyDescent="0.25">
      <c r="A87" s="549">
        <f>IF(Control!$D$5="Y","-",1)</f>
        <v>1</v>
      </c>
      <c r="B87" s="555" t="s">
        <v>558</v>
      </c>
      <c r="C87" s="555" t="s">
        <v>559</v>
      </c>
      <c r="D87" s="555" t="s">
        <v>563</v>
      </c>
      <c r="E87" s="556" t="s">
        <v>22</v>
      </c>
      <c r="F87" s="556" t="s">
        <v>22</v>
      </c>
      <c r="G87" s="556" t="str">
        <f>IFERROR(IF(MID('Load Criteria'!X87,FIND("_",'Load Criteria'!X87,1)+1,1)=LEFT(Control!$D$23,1),"YES","-"),"-")</f>
        <v>YES</v>
      </c>
      <c r="H87" s="549" t="str">
        <f>IF(INDEX('Weather Cases'!$G$10:$G$94,MATCH('Load Criteria'!X87,'Weather Cases'!$H$10:$H$94,0),1)="H","YES","")</f>
        <v>YES</v>
      </c>
      <c r="I87" s="557" t="s">
        <v>299</v>
      </c>
      <c r="J87" s="550">
        <f t="shared" si="14"/>
        <v>300</v>
      </c>
      <c r="K87" s="550" t="s">
        <v>60</v>
      </c>
      <c r="L87" s="550" t="s">
        <v>24</v>
      </c>
      <c r="M87" s="550"/>
      <c r="N87" s="550"/>
      <c r="O87" s="550"/>
      <c r="P87" s="392"/>
      <c r="Q87" s="392"/>
      <c r="R87" s="392"/>
      <c r="S87" s="392"/>
      <c r="T87" s="392"/>
      <c r="U87" s="550" t="str">
        <f t="shared" ref="U87:V106" si="26">U69</f>
        <v>BI+</v>
      </c>
      <c r="V87" s="560">
        <f t="shared" si="26"/>
        <v>90</v>
      </c>
      <c r="W87" s="542" t="str">
        <f t="shared" si="15"/>
        <v>MW0300_A8+DA BI++90</v>
      </c>
      <c r="X87" s="552" t="str">
        <f>I87&amp;TEXT(J87,"0000")&amp;"_"&amp;LEFT(Control!$D$23,1)&amp;LEFT(Control!$D$22,LEN(Control!$D$22)-2)</f>
        <v>MW0300_A8</v>
      </c>
      <c r="Y87" s="552" t="s">
        <v>433</v>
      </c>
      <c r="Z87" s="552" t="str">
        <f t="shared" si="22"/>
        <v>BI+</v>
      </c>
      <c r="AA87" s="552">
        <f t="shared" si="23"/>
        <v>90</v>
      </c>
      <c r="AB87" s="552">
        <v>1</v>
      </c>
      <c r="AC87" s="552">
        <v>1</v>
      </c>
      <c r="AD87" s="552">
        <v>1</v>
      </c>
      <c r="AE87" s="552">
        <v>1</v>
      </c>
      <c r="AF87" s="552">
        <v>1</v>
      </c>
      <c r="AG87" s="542" t="s">
        <v>561</v>
      </c>
      <c r="AH87" s="552">
        <v>0</v>
      </c>
      <c r="AI87" s="552">
        <v>0</v>
      </c>
      <c r="AJ87" s="552">
        <v>1</v>
      </c>
      <c r="AK87" s="552">
        <v>1</v>
      </c>
      <c r="AL87" s="552">
        <v>1</v>
      </c>
      <c r="AM87" s="552">
        <v>0</v>
      </c>
      <c r="AN87" s="552">
        <v>0</v>
      </c>
      <c r="AO87" s="552">
        <v>1</v>
      </c>
      <c r="AP87" s="552">
        <v>1</v>
      </c>
      <c r="AQ87" s="552">
        <v>1</v>
      </c>
      <c r="AR87" s="552">
        <v>1</v>
      </c>
      <c r="AS87" s="552">
        <v>1</v>
      </c>
      <c r="AT87" s="552">
        <v>1</v>
      </c>
      <c r="AU87" s="552">
        <v>1</v>
      </c>
      <c r="AV87" s="553" t="str">
        <f>IF(H87="YES","'"&amp;INDEX('Structure Groups'!$C$12:$C$14,MATCH('Load Criteria'!$B$5,'Structure Groups'!$B$12:$B$14,0),1)&amp;"'","'All'")</f>
        <v>'GL Max 800m'</v>
      </c>
      <c r="AW87" s="552" t="s">
        <v>562</v>
      </c>
      <c r="AX87" s="552"/>
      <c r="AY87" s="552" t="str">
        <f t="shared" si="18"/>
        <v>Yes</v>
      </c>
      <c r="AZ87" s="554" t="str">
        <f t="shared" si="19"/>
        <v>Ahead Spans</v>
      </c>
      <c r="BA87" s="554" t="str">
        <f t="shared" si="24"/>
        <v>% Wire Wind Pressure</v>
      </c>
      <c r="BB87" s="552">
        <f t="shared" si="25"/>
        <v>75</v>
      </c>
      <c r="BC87" s="554"/>
      <c r="BD87" s="552"/>
      <c r="BE87" s="554"/>
      <c r="BF87" s="554"/>
      <c r="BG87" s="554"/>
      <c r="BH87" s="554"/>
      <c r="BI87" s="554"/>
      <c r="BJ87" s="554"/>
      <c r="BK87" s="554"/>
      <c r="BL87" s="554"/>
      <c r="BM87" s="554"/>
      <c r="BN87" s="554"/>
      <c r="BO87" s="554"/>
      <c r="BP87" s="554"/>
      <c r="BQ87" s="554"/>
      <c r="BR87" s="554"/>
      <c r="BS87" s="554"/>
      <c r="BT87" s="554"/>
      <c r="BU87" s="554"/>
      <c r="BV87" s="554"/>
      <c r="BW87" s="554"/>
      <c r="BX87" s="554"/>
      <c r="BY87" s="554"/>
      <c r="BZ87" s="554"/>
      <c r="CA87" s="554"/>
      <c r="CB87" s="554"/>
      <c r="CC87" s="554"/>
      <c r="CD87" s="554"/>
      <c r="CE87" s="554"/>
      <c r="CF87" s="554"/>
      <c r="CG87" s="554"/>
      <c r="CH87" s="554"/>
      <c r="CI87" s="554"/>
      <c r="CJ87" s="554"/>
      <c r="CK87" s="554"/>
      <c r="CL87" s="554"/>
      <c r="CM87" s="554"/>
      <c r="CN87" s="554"/>
      <c r="CO87" s="554"/>
      <c r="CP87" s="554"/>
      <c r="CQ87" s="554"/>
      <c r="CR87" s="554"/>
      <c r="CS87" s="554"/>
      <c r="CT87" s="554"/>
      <c r="CU87" s="554"/>
      <c r="CV87" s="554"/>
      <c r="CW87" s="554"/>
      <c r="CX87" s="554"/>
      <c r="CY87" s="554"/>
      <c r="CZ87" s="554"/>
      <c r="DA87" s="554"/>
      <c r="DB87" s="554"/>
      <c r="DC87" s="554"/>
      <c r="DD87" s="554"/>
      <c r="DE87" s="534"/>
      <c r="DF87" s="534"/>
      <c r="DG87" s="534"/>
    </row>
    <row r="88" spans="1:111" ht="15" x14ac:dyDescent="0.25">
      <c r="A88" s="549">
        <f>IF(Control!$D$5="Y","-",1)</f>
        <v>1</v>
      </c>
      <c r="B88" s="555" t="s">
        <v>558</v>
      </c>
      <c r="C88" s="555" t="s">
        <v>559</v>
      </c>
      <c r="D88" s="555" t="s">
        <v>563</v>
      </c>
      <c r="E88" s="556" t="s">
        <v>22</v>
      </c>
      <c r="F88" s="556" t="s">
        <v>22</v>
      </c>
      <c r="G88" s="556" t="str">
        <f>IFERROR(IF(MID('Load Criteria'!X88,FIND("_",'Load Criteria'!X88,1)+1,1)=LEFT(Control!$D$23,1),"YES","-"),"-")</f>
        <v>YES</v>
      </c>
      <c r="H88" s="549" t="str">
        <f>IF(INDEX('Weather Cases'!$G$10:$G$94,MATCH('Load Criteria'!X88,'Weather Cases'!$H$10:$H$94,0),1)="H","YES","")</f>
        <v>YES</v>
      </c>
      <c r="I88" s="557" t="s">
        <v>299</v>
      </c>
      <c r="J88" s="550">
        <f t="shared" si="14"/>
        <v>300</v>
      </c>
      <c r="K88" s="550" t="s">
        <v>60</v>
      </c>
      <c r="L88" s="550" t="s">
        <v>24</v>
      </c>
      <c r="M88" s="550"/>
      <c r="N88" s="550"/>
      <c r="O88" s="550"/>
      <c r="P88" s="392"/>
      <c r="Q88" s="392"/>
      <c r="R88" s="392"/>
      <c r="S88" s="392"/>
      <c r="T88" s="392"/>
      <c r="U88" s="550" t="str">
        <f t="shared" si="26"/>
        <v>BI+</v>
      </c>
      <c r="V88" s="560">
        <f t="shared" si="26"/>
        <v>45</v>
      </c>
      <c r="W88" s="542" t="str">
        <f t="shared" si="15"/>
        <v>MW0300_A8+DA BI++45</v>
      </c>
      <c r="X88" s="552" t="str">
        <f>I88&amp;TEXT(J88,"0000")&amp;"_"&amp;LEFT(Control!$D$23,1)&amp;LEFT(Control!$D$22,LEN(Control!$D$22)-2)</f>
        <v>MW0300_A8</v>
      </c>
      <c r="Y88" s="552" t="s">
        <v>433</v>
      </c>
      <c r="Z88" s="552" t="str">
        <f t="shared" ref="Z88:Z96" si="27">U88</f>
        <v>BI+</v>
      </c>
      <c r="AA88" s="552">
        <f t="shared" ref="AA88:AA96" si="28">V88</f>
        <v>45</v>
      </c>
      <c r="AB88" s="552">
        <v>1</v>
      </c>
      <c r="AC88" s="552">
        <v>1</v>
      </c>
      <c r="AD88" s="552">
        <v>1</v>
      </c>
      <c r="AE88" s="552">
        <v>1</v>
      </c>
      <c r="AF88" s="552">
        <v>1</v>
      </c>
      <c r="AG88" s="542" t="s">
        <v>561</v>
      </c>
      <c r="AH88" s="552">
        <v>0</v>
      </c>
      <c r="AI88" s="552">
        <v>0</v>
      </c>
      <c r="AJ88" s="552">
        <v>1</v>
      </c>
      <c r="AK88" s="552">
        <v>1</v>
      </c>
      <c r="AL88" s="552">
        <v>1</v>
      </c>
      <c r="AM88" s="552">
        <v>0</v>
      </c>
      <c r="AN88" s="552">
        <v>0</v>
      </c>
      <c r="AO88" s="552">
        <v>1</v>
      </c>
      <c r="AP88" s="552">
        <v>1</v>
      </c>
      <c r="AQ88" s="552">
        <v>1</v>
      </c>
      <c r="AR88" s="552">
        <v>1</v>
      </c>
      <c r="AS88" s="552">
        <v>1</v>
      </c>
      <c r="AT88" s="552">
        <v>1</v>
      </c>
      <c r="AU88" s="552">
        <v>1</v>
      </c>
      <c r="AV88" s="553" t="str">
        <f>IF(H88="YES","'"&amp;INDEX('Structure Groups'!$C$12:$C$14,MATCH('Load Criteria'!$B$5,'Structure Groups'!$B$12:$B$14,0),1)&amp;"'","'All'")</f>
        <v>'GL Max 800m'</v>
      </c>
      <c r="AW88" s="552" t="s">
        <v>562</v>
      </c>
      <c r="AX88" s="552"/>
      <c r="AY88" s="552" t="str">
        <f t="shared" si="18"/>
        <v>Yes</v>
      </c>
      <c r="AZ88" s="554" t="str">
        <f t="shared" si="19"/>
        <v>Ahead Spans</v>
      </c>
      <c r="BA88" s="554" t="str">
        <f t="shared" si="24"/>
        <v>% Wire Wind Pressure</v>
      </c>
      <c r="BB88" s="552">
        <f t="shared" si="25"/>
        <v>75</v>
      </c>
      <c r="BC88" s="554"/>
      <c r="BD88" s="552"/>
      <c r="BE88" s="554"/>
      <c r="BF88" s="554"/>
      <c r="BG88" s="554"/>
      <c r="BH88" s="554"/>
      <c r="BI88" s="554"/>
      <c r="BJ88" s="554"/>
      <c r="BK88" s="554"/>
      <c r="BL88" s="554"/>
      <c r="BM88" s="554"/>
      <c r="BN88" s="554"/>
      <c r="BO88" s="554"/>
      <c r="BP88" s="554"/>
      <c r="BQ88" s="554"/>
      <c r="BR88" s="554"/>
      <c r="BS88" s="554"/>
      <c r="BT88" s="554"/>
      <c r="BU88" s="554"/>
      <c r="BV88" s="554"/>
      <c r="BW88" s="554"/>
      <c r="BX88" s="554"/>
      <c r="BY88" s="554"/>
      <c r="BZ88" s="554"/>
      <c r="CA88" s="554"/>
      <c r="CB88" s="554"/>
      <c r="CC88" s="554"/>
      <c r="CD88" s="554"/>
      <c r="CE88" s="554"/>
      <c r="CF88" s="554"/>
      <c r="CG88" s="554"/>
      <c r="CH88" s="554"/>
      <c r="CI88" s="554"/>
      <c r="CJ88" s="554"/>
      <c r="CK88" s="554"/>
      <c r="CL88" s="554"/>
      <c r="CM88" s="554"/>
      <c r="CN88" s="554"/>
      <c r="CO88" s="554"/>
      <c r="CP88" s="554"/>
      <c r="CQ88" s="554"/>
      <c r="CR88" s="554"/>
      <c r="CS88" s="554"/>
      <c r="CT88" s="554"/>
      <c r="CU88" s="554"/>
      <c r="CV88" s="554"/>
      <c r="CW88" s="554"/>
      <c r="CX88" s="554"/>
      <c r="CY88" s="554"/>
      <c r="CZ88" s="554"/>
      <c r="DA88" s="554"/>
      <c r="DB88" s="554"/>
      <c r="DC88" s="554"/>
      <c r="DD88" s="554"/>
      <c r="DE88" s="534"/>
      <c r="DF88" s="534"/>
      <c r="DG88" s="534"/>
    </row>
    <row r="89" spans="1:111" ht="15" x14ac:dyDescent="0.25">
      <c r="A89" s="549">
        <f>IF(Control!$D$5="Y","-",1)</f>
        <v>1</v>
      </c>
      <c r="B89" s="555" t="s">
        <v>558</v>
      </c>
      <c r="C89" s="555" t="s">
        <v>559</v>
      </c>
      <c r="D89" s="555" t="s">
        <v>563</v>
      </c>
      <c r="E89" s="556" t="s">
        <v>22</v>
      </c>
      <c r="F89" s="556" t="s">
        <v>22</v>
      </c>
      <c r="G89" s="556" t="str">
        <f>IFERROR(IF(MID('Load Criteria'!X89,FIND("_",'Load Criteria'!X89,1)+1,1)=LEFT(Control!$D$23,1),"YES","-"),"-")</f>
        <v>YES</v>
      </c>
      <c r="H89" s="549" t="str">
        <f>IF(INDEX('Weather Cases'!$G$10:$G$94,MATCH('Load Criteria'!X89,'Weather Cases'!$H$10:$H$94,0),1)="H","YES","")</f>
        <v>YES</v>
      </c>
      <c r="I89" s="557" t="s">
        <v>299</v>
      </c>
      <c r="J89" s="550">
        <f t="shared" si="14"/>
        <v>300</v>
      </c>
      <c r="K89" s="550" t="s">
        <v>60</v>
      </c>
      <c r="L89" s="550" t="s">
        <v>24</v>
      </c>
      <c r="M89" s="550"/>
      <c r="N89" s="550"/>
      <c r="O89" s="550"/>
      <c r="P89" s="392"/>
      <c r="Q89" s="392"/>
      <c r="R89" s="392"/>
      <c r="S89" s="392"/>
      <c r="T89" s="392"/>
      <c r="U89" s="550" t="str">
        <f t="shared" si="26"/>
        <v>BI+</v>
      </c>
      <c r="V89" s="560">
        <f t="shared" si="26"/>
        <v>30</v>
      </c>
      <c r="W89" s="542" t="str">
        <f t="shared" si="15"/>
        <v>MW0300_A8+DA BI++30</v>
      </c>
      <c r="X89" s="552" t="str">
        <f>I89&amp;TEXT(J89,"0000")&amp;"_"&amp;LEFT(Control!$D$23,1)&amp;LEFT(Control!$D$22,LEN(Control!$D$22)-2)</f>
        <v>MW0300_A8</v>
      </c>
      <c r="Y89" s="552" t="s">
        <v>433</v>
      </c>
      <c r="Z89" s="552" t="str">
        <f t="shared" si="27"/>
        <v>BI+</v>
      </c>
      <c r="AA89" s="552">
        <f t="shared" si="28"/>
        <v>30</v>
      </c>
      <c r="AB89" s="552">
        <v>1</v>
      </c>
      <c r="AC89" s="552">
        <v>1</v>
      </c>
      <c r="AD89" s="552">
        <v>1</v>
      </c>
      <c r="AE89" s="552">
        <v>1</v>
      </c>
      <c r="AF89" s="552">
        <v>1</v>
      </c>
      <c r="AG89" s="542" t="s">
        <v>561</v>
      </c>
      <c r="AH89" s="552">
        <v>0</v>
      </c>
      <c r="AI89" s="552">
        <v>0</v>
      </c>
      <c r="AJ89" s="552">
        <v>1</v>
      </c>
      <c r="AK89" s="552">
        <v>1</v>
      </c>
      <c r="AL89" s="552">
        <v>1</v>
      </c>
      <c r="AM89" s="552">
        <v>0</v>
      </c>
      <c r="AN89" s="552">
        <v>0</v>
      </c>
      <c r="AO89" s="552">
        <v>1</v>
      </c>
      <c r="AP89" s="552">
        <v>1</v>
      </c>
      <c r="AQ89" s="552">
        <v>1</v>
      </c>
      <c r="AR89" s="552">
        <v>1</v>
      </c>
      <c r="AS89" s="552">
        <v>1</v>
      </c>
      <c r="AT89" s="552">
        <v>1</v>
      </c>
      <c r="AU89" s="552">
        <v>1</v>
      </c>
      <c r="AV89" s="553" t="str">
        <f>IF(H89="YES","'"&amp;INDEX('Structure Groups'!$C$12:$C$14,MATCH('Load Criteria'!$B$5,'Structure Groups'!$B$12:$B$14,0),1)&amp;"'","'All'")</f>
        <v>'GL Max 800m'</v>
      </c>
      <c r="AW89" s="552" t="s">
        <v>562</v>
      </c>
      <c r="AX89" s="552"/>
      <c r="AY89" s="552" t="str">
        <f t="shared" si="18"/>
        <v>Yes</v>
      </c>
      <c r="AZ89" s="554" t="str">
        <f t="shared" si="19"/>
        <v>Ahead Spans</v>
      </c>
      <c r="BA89" s="554" t="str">
        <f t="shared" si="24"/>
        <v>% Wire Wind Pressure</v>
      </c>
      <c r="BB89" s="552">
        <f t="shared" si="25"/>
        <v>75</v>
      </c>
      <c r="BC89" s="554"/>
      <c r="BD89" s="552"/>
      <c r="BE89" s="554"/>
      <c r="BF89" s="554"/>
      <c r="BG89" s="554"/>
      <c r="BH89" s="554"/>
      <c r="BI89" s="554"/>
      <c r="BJ89" s="554"/>
      <c r="BK89" s="554"/>
      <c r="BL89" s="554"/>
      <c r="BM89" s="554"/>
      <c r="BN89" s="554"/>
      <c r="BO89" s="554"/>
      <c r="BP89" s="554"/>
      <c r="BQ89" s="554"/>
      <c r="BR89" s="554"/>
      <c r="BS89" s="554"/>
      <c r="BT89" s="554"/>
      <c r="BU89" s="554"/>
      <c r="BV89" s="554"/>
      <c r="BW89" s="554"/>
      <c r="BX89" s="554"/>
      <c r="BY89" s="554"/>
      <c r="BZ89" s="554"/>
      <c r="CA89" s="554"/>
      <c r="CB89" s="554"/>
      <c r="CC89" s="554"/>
      <c r="CD89" s="554"/>
      <c r="CE89" s="554"/>
      <c r="CF89" s="554"/>
      <c r="CG89" s="554"/>
      <c r="CH89" s="554"/>
      <c r="CI89" s="554"/>
      <c r="CJ89" s="554"/>
      <c r="CK89" s="554"/>
      <c r="CL89" s="554"/>
      <c r="CM89" s="554"/>
      <c r="CN89" s="554"/>
      <c r="CO89" s="554"/>
      <c r="CP89" s="554"/>
      <c r="CQ89" s="554"/>
      <c r="CR89" s="554"/>
      <c r="CS89" s="554"/>
      <c r="CT89" s="554"/>
      <c r="CU89" s="554"/>
      <c r="CV89" s="554"/>
      <c r="CW89" s="554"/>
      <c r="CX89" s="554"/>
      <c r="CY89" s="554"/>
      <c r="CZ89" s="554"/>
      <c r="DA89" s="554"/>
      <c r="DB89" s="554"/>
      <c r="DC89" s="554"/>
      <c r="DD89" s="554"/>
      <c r="DE89" s="534"/>
      <c r="DF89" s="534"/>
      <c r="DG89" s="534"/>
    </row>
    <row r="90" spans="1:111" ht="15" x14ac:dyDescent="0.25">
      <c r="A90" s="549">
        <f>IF(Control!$D$5="Y","-",1)</f>
        <v>1</v>
      </c>
      <c r="B90" s="555" t="s">
        <v>558</v>
      </c>
      <c r="C90" s="555" t="s">
        <v>559</v>
      </c>
      <c r="D90" s="555" t="s">
        <v>563</v>
      </c>
      <c r="E90" s="556" t="s">
        <v>22</v>
      </c>
      <c r="F90" s="556" t="s">
        <v>22</v>
      </c>
      <c r="G90" s="556" t="str">
        <f>IFERROR(IF(MID('Load Criteria'!X90,FIND("_",'Load Criteria'!X90,1)+1,1)=LEFT(Control!$D$23,1),"YES","-"),"-")</f>
        <v>YES</v>
      </c>
      <c r="H90" s="549" t="str">
        <f>IF(INDEX('Weather Cases'!$G$10:$G$94,MATCH('Load Criteria'!X90,'Weather Cases'!$H$10:$H$94,0),1)="H","YES","")</f>
        <v>YES</v>
      </c>
      <c r="I90" s="557" t="s">
        <v>299</v>
      </c>
      <c r="J90" s="550">
        <f t="shared" si="14"/>
        <v>300</v>
      </c>
      <c r="K90" s="550" t="s">
        <v>60</v>
      </c>
      <c r="L90" s="550" t="s">
        <v>24</v>
      </c>
      <c r="M90" s="550"/>
      <c r="N90" s="550"/>
      <c r="O90" s="550"/>
      <c r="P90" s="392"/>
      <c r="Q90" s="392"/>
      <c r="R90" s="392"/>
      <c r="S90" s="392"/>
      <c r="T90" s="392"/>
      <c r="U90" s="550" t="str">
        <f t="shared" si="26"/>
        <v>BI+</v>
      </c>
      <c r="V90" s="560">
        <f t="shared" si="26"/>
        <v>15</v>
      </c>
      <c r="W90" s="542" t="str">
        <f t="shared" si="15"/>
        <v>MW0300_A8+DA BI++15</v>
      </c>
      <c r="X90" s="552" t="str">
        <f>I90&amp;TEXT(J90,"0000")&amp;"_"&amp;LEFT(Control!$D$23,1)&amp;LEFT(Control!$D$22,LEN(Control!$D$22)-2)</f>
        <v>MW0300_A8</v>
      </c>
      <c r="Y90" s="552" t="s">
        <v>433</v>
      </c>
      <c r="Z90" s="552" t="str">
        <f t="shared" si="27"/>
        <v>BI+</v>
      </c>
      <c r="AA90" s="552">
        <f t="shared" si="28"/>
        <v>15</v>
      </c>
      <c r="AB90" s="552">
        <v>1</v>
      </c>
      <c r="AC90" s="552">
        <v>1</v>
      </c>
      <c r="AD90" s="552">
        <v>1</v>
      </c>
      <c r="AE90" s="552">
        <v>1</v>
      </c>
      <c r="AF90" s="552">
        <v>1</v>
      </c>
      <c r="AG90" s="542" t="s">
        <v>561</v>
      </c>
      <c r="AH90" s="552">
        <v>0</v>
      </c>
      <c r="AI90" s="552">
        <v>0</v>
      </c>
      <c r="AJ90" s="552">
        <v>1</v>
      </c>
      <c r="AK90" s="552">
        <v>1</v>
      </c>
      <c r="AL90" s="552">
        <v>1</v>
      </c>
      <c r="AM90" s="552">
        <v>0</v>
      </c>
      <c r="AN90" s="552">
        <v>0</v>
      </c>
      <c r="AO90" s="552">
        <v>1</v>
      </c>
      <c r="AP90" s="552">
        <v>1</v>
      </c>
      <c r="AQ90" s="552">
        <v>1</v>
      </c>
      <c r="AR90" s="552">
        <v>1</v>
      </c>
      <c r="AS90" s="552">
        <v>1</v>
      </c>
      <c r="AT90" s="552">
        <v>1</v>
      </c>
      <c r="AU90" s="552">
        <v>1</v>
      </c>
      <c r="AV90" s="553" t="str">
        <f>IF(H90="YES","'"&amp;INDEX('Structure Groups'!$C$12:$C$14,MATCH('Load Criteria'!$B$5,'Structure Groups'!$B$12:$B$14,0),1)&amp;"'","'All'")</f>
        <v>'GL Max 800m'</v>
      </c>
      <c r="AW90" s="552" t="s">
        <v>562</v>
      </c>
      <c r="AX90" s="552"/>
      <c r="AY90" s="552" t="str">
        <f t="shared" si="18"/>
        <v>Yes</v>
      </c>
      <c r="AZ90" s="554" t="str">
        <f t="shared" si="19"/>
        <v>Ahead Spans</v>
      </c>
      <c r="BA90" s="554" t="str">
        <f t="shared" si="24"/>
        <v>% Wire Wind Pressure</v>
      </c>
      <c r="BB90" s="552">
        <f t="shared" si="25"/>
        <v>75</v>
      </c>
      <c r="BC90" s="554"/>
      <c r="BD90" s="552"/>
      <c r="BE90" s="554"/>
      <c r="BF90" s="554"/>
      <c r="BG90" s="554"/>
      <c r="BH90" s="554"/>
      <c r="BI90" s="554"/>
      <c r="BJ90" s="554"/>
      <c r="BK90" s="554"/>
      <c r="BL90" s="554"/>
      <c r="BM90" s="554"/>
      <c r="BN90" s="554"/>
      <c r="BO90" s="554"/>
      <c r="BP90" s="554"/>
      <c r="BQ90" s="554"/>
      <c r="BR90" s="554"/>
      <c r="BS90" s="554"/>
      <c r="BT90" s="554"/>
      <c r="BU90" s="554"/>
      <c r="BV90" s="554"/>
      <c r="BW90" s="554"/>
      <c r="BX90" s="554"/>
      <c r="BY90" s="554"/>
      <c r="BZ90" s="554"/>
      <c r="CA90" s="554"/>
      <c r="CB90" s="554"/>
      <c r="CC90" s="554"/>
      <c r="CD90" s="554"/>
      <c r="CE90" s="554"/>
      <c r="CF90" s="554"/>
      <c r="CG90" s="554"/>
      <c r="CH90" s="554"/>
      <c r="CI90" s="554"/>
      <c r="CJ90" s="554"/>
      <c r="CK90" s="554"/>
      <c r="CL90" s="554"/>
      <c r="CM90" s="554"/>
      <c r="CN90" s="554"/>
      <c r="CO90" s="554"/>
      <c r="CP90" s="554"/>
      <c r="CQ90" s="554"/>
      <c r="CR90" s="554"/>
      <c r="CS90" s="554"/>
      <c r="CT90" s="554"/>
      <c r="CU90" s="554"/>
      <c r="CV90" s="554"/>
      <c r="CW90" s="554"/>
      <c r="CX90" s="554"/>
      <c r="CY90" s="554"/>
      <c r="CZ90" s="554"/>
      <c r="DA90" s="554"/>
      <c r="DB90" s="554"/>
      <c r="DC90" s="554"/>
      <c r="DD90" s="554"/>
      <c r="DE90" s="534"/>
      <c r="DF90" s="534"/>
      <c r="DG90" s="534"/>
    </row>
    <row r="91" spans="1:111" ht="15" x14ac:dyDescent="0.25">
      <c r="A91" s="549">
        <f>IF(Control!$D$5="Y","-",1)</f>
        <v>1</v>
      </c>
      <c r="B91" s="555" t="s">
        <v>558</v>
      </c>
      <c r="C91" s="555" t="s">
        <v>559</v>
      </c>
      <c r="D91" s="555" t="s">
        <v>563</v>
      </c>
      <c r="E91" s="556" t="s">
        <v>22</v>
      </c>
      <c r="F91" s="556" t="s">
        <v>22</v>
      </c>
      <c r="G91" s="556" t="str">
        <f>IFERROR(IF(MID('Load Criteria'!X91,FIND("_",'Load Criteria'!X91,1)+1,1)=LEFT(Control!$D$23,1),"YES","-"),"-")</f>
        <v>YES</v>
      </c>
      <c r="H91" s="549" t="str">
        <f>IF(INDEX('Weather Cases'!$G$10:$G$94,MATCH('Load Criteria'!X91,'Weather Cases'!$H$10:$H$94,0),1)="H","YES","")</f>
        <v>YES</v>
      </c>
      <c r="I91" s="557" t="s">
        <v>299</v>
      </c>
      <c r="J91" s="550">
        <f t="shared" si="14"/>
        <v>300</v>
      </c>
      <c r="K91" s="550" t="s">
        <v>60</v>
      </c>
      <c r="L91" s="550" t="s">
        <v>24</v>
      </c>
      <c r="M91" s="550"/>
      <c r="N91" s="550"/>
      <c r="O91" s="550"/>
      <c r="P91" s="392"/>
      <c r="Q91" s="392"/>
      <c r="R91" s="392"/>
      <c r="S91" s="392"/>
      <c r="T91" s="392"/>
      <c r="U91" s="550" t="str">
        <f t="shared" si="26"/>
        <v>BI+</v>
      </c>
      <c r="V91" s="560">
        <f t="shared" si="26"/>
        <v>0</v>
      </c>
      <c r="W91" s="542" t="str">
        <f t="shared" si="15"/>
        <v>MW0300_A8+DA BI++00</v>
      </c>
      <c r="X91" s="552" t="str">
        <f>I91&amp;TEXT(J91,"0000")&amp;"_"&amp;LEFT(Control!$D$23,1)&amp;LEFT(Control!$D$22,LEN(Control!$D$22)-2)</f>
        <v>MW0300_A8</v>
      </c>
      <c r="Y91" s="552" t="s">
        <v>433</v>
      </c>
      <c r="Z91" s="552" t="str">
        <f t="shared" si="27"/>
        <v>BI+</v>
      </c>
      <c r="AA91" s="552">
        <f t="shared" si="28"/>
        <v>0</v>
      </c>
      <c r="AB91" s="552">
        <v>1</v>
      </c>
      <c r="AC91" s="552">
        <v>1</v>
      </c>
      <c r="AD91" s="552">
        <v>1</v>
      </c>
      <c r="AE91" s="552">
        <v>1</v>
      </c>
      <c r="AF91" s="552">
        <v>1</v>
      </c>
      <c r="AG91" s="542" t="s">
        <v>561</v>
      </c>
      <c r="AH91" s="552">
        <v>0</v>
      </c>
      <c r="AI91" s="552">
        <v>0</v>
      </c>
      <c r="AJ91" s="552">
        <v>1</v>
      </c>
      <c r="AK91" s="552">
        <v>1</v>
      </c>
      <c r="AL91" s="552">
        <v>1</v>
      </c>
      <c r="AM91" s="552">
        <v>0</v>
      </c>
      <c r="AN91" s="552">
        <v>0</v>
      </c>
      <c r="AO91" s="552">
        <v>1</v>
      </c>
      <c r="AP91" s="552">
        <v>1</v>
      </c>
      <c r="AQ91" s="552">
        <v>1</v>
      </c>
      <c r="AR91" s="552">
        <v>1</v>
      </c>
      <c r="AS91" s="552">
        <v>1</v>
      </c>
      <c r="AT91" s="552">
        <v>1</v>
      </c>
      <c r="AU91" s="552">
        <v>1</v>
      </c>
      <c r="AV91" s="553" t="str">
        <f>IF(H91="YES","'"&amp;INDEX('Structure Groups'!$C$12:$C$14,MATCH('Load Criteria'!$B$5,'Structure Groups'!$B$12:$B$14,0),1)&amp;"'","'All'")</f>
        <v>'GL Max 800m'</v>
      </c>
      <c r="AW91" s="552" t="s">
        <v>562</v>
      </c>
      <c r="AX91" s="552"/>
      <c r="AY91" s="552" t="str">
        <f t="shared" si="18"/>
        <v>Yes</v>
      </c>
      <c r="AZ91" s="554" t="str">
        <f t="shared" si="19"/>
        <v>Ahead Spans</v>
      </c>
      <c r="BA91" s="554" t="str">
        <f t="shared" si="24"/>
        <v>% Wire Wind Pressure</v>
      </c>
      <c r="BB91" s="552">
        <f t="shared" si="25"/>
        <v>75</v>
      </c>
      <c r="BC91" s="554"/>
      <c r="BD91" s="552"/>
      <c r="BE91" s="554"/>
      <c r="BF91" s="554"/>
      <c r="BG91" s="554"/>
      <c r="BH91" s="554"/>
      <c r="BI91" s="554"/>
      <c r="BJ91" s="554"/>
      <c r="BK91" s="554"/>
      <c r="BL91" s="554"/>
      <c r="BM91" s="554"/>
      <c r="BN91" s="554"/>
      <c r="BO91" s="554"/>
      <c r="BP91" s="554"/>
      <c r="BQ91" s="554"/>
      <c r="BR91" s="554"/>
      <c r="BS91" s="554"/>
      <c r="BT91" s="554"/>
      <c r="BU91" s="554"/>
      <c r="BV91" s="554"/>
      <c r="BW91" s="554"/>
      <c r="BX91" s="554"/>
      <c r="BY91" s="554"/>
      <c r="BZ91" s="554"/>
      <c r="CA91" s="554"/>
      <c r="CB91" s="554"/>
      <c r="CC91" s="554"/>
      <c r="CD91" s="554"/>
      <c r="CE91" s="554"/>
      <c r="CF91" s="554"/>
      <c r="CG91" s="554"/>
      <c r="CH91" s="554"/>
      <c r="CI91" s="554"/>
      <c r="CJ91" s="554"/>
      <c r="CK91" s="554"/>
      <c r="CL91" s="554"/>
      <c r="CM91" s="554"/>
      <c r="CN91" s="554"/>
      <c r="CO91" s="554"/>
      <c r="CP91" s="554"/>
      <c r="CQ91" s="554"/>
      <c r="CR91" s="554"/>
      <c r="CS91" s="554"/>
      <c r="CT91" s="554"/>
      <c r="CU91" s="554"/>
      <c r="CV91" s="554"/>
      <c r="CW91" s="554"/>
      <c r="CX91" s="554"/>
      <c r="CY91" s="554"/>
      <c r="CZ91" s="554"/>
      <c r="DA91" s="554"/>
      <c r="DB91" s="554"/>
      <c r="DC91" s="554"/>
      <c r="DD91" s="554"/>
      <c r="DE91" s="534"/>
      <c r="DF91" s="534"/>
      <c r="DG91" s="534"/>
    </row>
    <row r="92" spans="1:111" ht="15" x14ac:dyDescent="0.25">
      <c r="A92" s="549">
        <f>IF(Control!$D$5="Y","-",1)</f>
        <v>1</v>
      </c>
      <c r="B92" s="555" t="s">
        <v>558</v>
      </c>
      <c r="C92" s="555" t="s">
        <v>559</v>
      </c>
      <c r="D92" s="555" t="s">
        <v>563</v>
      </c>
      <c r="E92" s="556" t="s">
        <v>22</v>
      </c>
      <c r="F92" s="556" t="s">
        <v>22</v>
      </c>
      <c r="G92" s="556" t="str">
        <f>IFERROR(IF(MID('Load Criteria'!X92,FIND("_",'Load Criteria'!X92,1)+1,1)=LEFT(Control!$D$23,1),"YES","-"),"-")</f>
        <v>YES</v>
      </c>
      <c r="H92" s="549" t="str">
        <f>IF(INDEX('Weather Cases'!$G$10:$G$94,MATCH('Load Criteria'!X92,'Weather Cases'!$H$10:$H$94,0),1)="H","YES","")</f>
        <v>YES</v>
      </c>
      <c r="I92" s="557" t="s">
        <v>299</v>
      </c>
      <c r="J92" s="550">
        <f t="shared" si="14"/>
        <v>300</v>
      </c>
      <c r="K92" s="550" t="s">
        <v>60</v>
      </c>
      <c r="L92" s="550" t="s">
        <v>24</v>
      </c>
      <c r="M92" s="550"/>
      <c r="N92" s="550"/>
      <c r="O92" s="550"/>
      <c r="P92" s="392"/>
      <c r="Q92" s="392"/>
      <c r="R92" s="392"/>
      <c r="S92" s="392"/>
      <c r="T92" s="392"/>
      <c r="U92" s="550" t="str">
        <f t="shared" si="26"/>
        <v>BI+</v>
      </c>
      <c r="V92" s="560">
        <f t="shared" si="26"/>
        <v>-15</v>
      </c>
      <c r="W92" s="542" t="str">
        <f t="shared" si="15"/>
        <v>MW0300_A8+DA BI+-15</v>
      </c>
      <c r="X92" s="552" t="str">
        <f>I92&amp;TEXT(J92,"0000")&amp;"_"&amp;LEFT(Control!$D$23,1)&amp;LEFT(Control!$D$22,LEN(Control!$D$22)-2)</f>
        <v>MW0300_A8</v>
      </c>
      <c r="Y92" s="552" t="s">
        <v>433</v>
      </c>
      <c r="Z92" s="552" t="str">
        <f t="shared" si="27"/>
        <v>BI+</v>
      </c>
      <c r="AA92" s="552">
        <f t="shared" si="28"/>
        <v>-15</v>
      </c>
      <c r="AB92" s="552">
        <v>1</v>
      </c>
      <c r="AC92" s="552">
        <v>1</v>
      </c>
      <c r="AD92" s="552">
        <v>1</v>
      </c>
      <c r="AE92" s="552">
        <v>1</v>
      </c>
      <c r="AF92" s="552">
        <v>1</v>
      </c>
      <c r="AG92" s="542" t="s">
        <v>561</v>
      </c>
      <c r="AH92" s="552">
        <v>0</v>
      </c>
      <c r="AI92" s="552">
        <v>0</v>
      </c>
      <c r="AJ92" s="552">
        <v>1</v>
      </c>
      <c r="AK92" s="552">
        <v>1</v>
      </c>
      <c r="AL92" s="552">
        <v>1</v>
      </c>
      <c r="AM92" s="552">
        <v>0</v>
      </c>
      <c r="AN92" s="552">
        <v>0</v>
      </c>
      <c r="AO92" s="552">
        <v>1</v>
      </c>
      <c r="AP92" s="552">
        <v>1</v>
      </c>
      <c r="AQ92" s="552">
        <v>1</v>
      </c>
      <c r="AR92" s="552">
        <v>1</v>
      </c>
      <c r="AS92" s="552">
        <v>1</v>
      </c>
      <c r="AT92" s="552">
        <v>1</v>
      </c>
      <c r="AU92" s="552">
        <v>1</v>
      </c>
      <c r="AV92" s="553" t="str">
        <f>IF(H92="YES","'"&amp;INDEX('Structure Groups'!$C$12:$C$14,MATCH('Load Criteria'!$B$5,'Structure Groups'!$B$12:$B$14,0),1)&amp;"'","'All'")</f>
        <v>'GL Max 800m'</v>
      </c>
      <c r="AW92" s="552" t="s">
        <v>562</v>
      </c>
      <c r="AX92" s="552"/>
      <c r="AY92" s="552" t="str">
        <f t="shared" si="18"/>
        <v>Yes</v>
      </c>
      <c r="AZ92" s="554" t="str">
        <f t="shared" si="19"/>
        <v>Ahead Spans</v>
      </c>
      <c r="BA92" s="554" t="str">
        <f t="shared" si="24"/>
        <v>% Wire Wind Pressure</v>
      </c>
      <c r="BB92" s="552">
        <f t="shared" si="25"/>
        <v>75</v>
      </c>
      <c r="BC92" s="554"/>
      <c r="BD92" s="552"/>
      <c r="BE92" s="554"/>
      <c r="BF92" s="554"/>
      <c r="BG92" s="554"/>
      <c r="BH92" s="554"/>
      <c r="BI92" s="554"/>
      <c r="BJ92" s="554"/>
      <c r="BK92" s="554"/>
      <c r="BL92" s="554"/>
      <c r="BM92" s="554"/>
      <c r="BN92" s="554"/>
      <c r="BO92" s="554"/>
      <c r="BP92" s="554"/>
      <c r="BQ92" s="554"/>
      <c r="BR92" s="554"/>
      <c r="BS92" s="554"/>
      <c r="BT92" s="554"/>
      <c r="BU92" s="554"/>
      <c r="BV92" s="554"/>
      <c r="BW92" s="554"/>
      <c r="BX92" s="554"/>
      <c r="BY92" s="554"/>
      <c r="BZ92" s="554"/>
      <c r="CA92" s="554"/>
      <c r="CB92" s="554"/>
      <c r="CC92" s="554"/>
      <c r="CD92" s="554"/>
      <c r="CE92" s="554"/>
      <c r="CF92" s="554"/>
      <c r="CG92" s="554"/>
      <c r="CH92" s="554"/>
      <c r="CI92" s="554"/>
      <c r="CJ92" s="554"/>
      <c r="CK92" s="554"/>
      <c r="CL92" s="554"/>
      <c r="CM92" s="554"/>
      <c r="CN92" s="554"/>
      <c r="CO92" s="554"/>
      <c r="CP92" s="554"/>
      <c r="CQ92" s="554"/>
      <c r="CR92" s="554"/>
      <c r="CS92" s="554"/>
      <c r="CT92" s="554"/>
      <c r="CU92" s="554"/>
      <c r="CV92" s="554"/>
      <c r="CW92" s="554"/>
      <c r="CX92" s="554"/>
      <c r="CY92" s="554"/>
      <c r="CZ92" s="554"/>
      <c r="DA92" s="554"/>
      <c r="DB92" s="554"/>
      <c r="DC92" s="554"/>
      <c r="DD92" s="554"/>
      <c r="DE92" s="534"/>
      <c r="DF92" s="534"/>
      <c r="DG92" s="534"/>
    </row>
    <row r="93" spans="1:111" ht="15" x14ac:dyDescent="0.25">
      <c r="A93" s="549">
        <f>IF(Control!$D$5="Y","-",1)</f>
        <v>1</v>
      </c>
      <c r="B93" s="555" t="s">
        <v>558</v>
      </c>
      <c r="C93" s="555" t="s">
        <v>559</v>
      </c>
      <c r="D93" s="555" t="s">
        <v>563</v>
      </c>
      <c r="E93" s="556" t="s">
        <v>22</v>
      </c>
      <c r="F93" s="556" t="s">
        <v>22</v>
      </c>
      <c r="G93" s="556" t="str">
        <f>IFERROR(IF(MID('Load Criteria'!X93,FIND("_",'Load Criteria'!X93,1)+1,1)=LEFT(Control!$D$23,1),"YES","-"),"-")</f>
        <v>YES</v>
      </c>
      <c r="H93" s="549" t="str">
        <f>IF(INDEX('Weather Cases'!$G$10:$G$94,MATCH('Load Criteria'!X93,'Weather Cases'!$H$10:$H$94,0),1)="H","YES","")</f>
        <v>YES</v>
      </c>
      <c r="I93" s="557" t="s">
        <v>299</v>
      </c>
      <c r="J93" s="550">
        <f t="shared" si="14"/>
        <v>300</v>
      </c>
      <c r="K93" s="550" t="s">
        <v>60</v>
      </c>
      <c r="L93" s="550" t="s">
        <v>24</v>
      </c>
      <c r="M93" s="550"/>
      <c r="N93" s="550"/>
      <c r="O93" s="550"/>
      <c r="P93" s="392"/>
      <c r="Q93" s="392"/>
      <c r="R93" s="392"/>
      <c r="S93" s="392"/>
      <c r="T93" s="392"/>
      <c r="U93" s="550" t="str">
        <f t="shared" si="26"/>
        <v>BI+</v>
      </c>
      <c r="V93" s="560">
        <f t="shared" si="26"/>
        <v>-30</v>
      </c>
      <c r="W93" s="542" t="str">
        <f t="shared" si="15"/>
        <v>MW0300_A8+DA BI+-30</v>
      </c>
      <c r="X93" s="552" t="str">
        <f>I93&amp;TEXT(J93,"0000")&amp;"_"&amp;LEFT(Control!$D$23,1)&amp;LEFT(Control!$D$22,LEN(Control!$D$22)-2)</f>
        <v>MW0300_A8</v>
      </c>
      <c r="Y93" s="552" t="s">
        <v>433</v>
      </c>
      <c r="Z93" s="552" t="str">
        <f t="shared" si="27"/>
        <v>BI+</v>
      </c>
      <c r="AA93" s="552">
        <f t="shared" si="28"/>
        <v>-30</v>
      </c>
      <c r="AB93" s="552">
        <v>1</v>
      </c>
      <c r="AC93" s="552">
        <v>1</v>
      </c>
      <c r="AD93" s="552">
        <v>1</v>
      </c>
      <c r="AE93" s="552">
        <v>1</v>
      </c>
      <c r="AF93" s="552">
        <v>1</v>
      </c>
      <c r="AG93" s="542" t="s">
        <v>561</v>
      </c>
      <c r="AH93" s="552">
        <v>0</v>
      </c>
      <c r="AI93" s="552">
        <v>0</v>
      </c>
      <c r="AJ93" s="552">
        <v>1</v>
      </c>
      <c r="AK93" s="552">
        <v>1</v>
      </c>
      <c r="AL93" s="552">
        <v>1</v>
      </c>
      <c r="AM93" s="552">
        <v>0</v>
      </c>
      <c r="AN93" s="552">
        <v>0</v>
      </c>
      <c r="AO93" s="552">
        <v>1</v>
      </c>
      <c r="AP93" s="552">
        <v>1</v>
      </c>
      <c r="AQ93" s="552">
        <v>1</v>
      </c>
      <c r="AR93" s="552">
        <v>1</v>
      </c>
      <c r="AS93" s="552">
        <v>1</v>
      </c>
      <c r="AT93" s="552">
        <v>1</v>
      </c>
      <c r="AU93" s="552">
        <v>1</v>
      </c>
      <c r="AV93" s="553" t="str">
        <f>IF(H93="YES","'"&amp;INDEX('Structure Groups'!$C$12:$C$14,MATCH('Load Criteria'!$B$5,'Structure Groups'!$B$12:$B$14,0),1)&amp;"'","'All'")</f>
        <v>'GL Max 800m'</v>
      </c>
      <c r="AW93" s="552" t="s">
        <v>562</v>
      </c>
      <c r="AX93" s="552"/>
      <c r="AY93" s="552" t="str">
        <f t="shared" si="18"/>
        <v>Yes</v>
      </c>
      <c r="AZ93" s="554" t="str">
        <f t="shared" si="19"/>
        <v>Ahead Spans</v>
      </c>
      <c r="BA93" s="554" t="str">
        <f t="shared" si="24"/>
        <v>% Wire Wind Pressure</v>
      </c>
      <c r="BB93" s="552">
        <f t="shared" si="25"/>
        <v>75</v>
      </c>
      <c r="BC93" s="554"/>
      <c r="BD93" s="552"/>
      <c r="BE93" s="554"/>
      <c r="BF93" s="554"/>
      <c r="BG93" s="554"/>
      <c r="BH93" s="554"/>
      <c r="BI93" s="554"/>
      <c r="BJ93" s="554"/>
      <c r="BK93" s="554"/>
      <c r="BL93" s="554"/>
      <c r="BM93" s="554"/>
      <c r="BN93" s="554"/>
      <c r="BO93" s="554"/>
      <c r="BP93" s="554"/>
      <c r="BQ93" s="554"/>
      <c r="BR93" s="554"/>
      <c r="BS93" s="554"/>
      <c r="BT93" s="554"/>
      <c r="BU93" s="554"/>
      <c r="BV93" s="554"/>
      <c r="BW93" s="554"/>
      <c r="BX93" s="554"/>
      <c r="BY93" s="554"/>
      <c r="BZ93" s="554"/>
      <c r="CA93" s="554"/>
      <c r="CB93" s="554"/>
      <c r="CC93" s="554"/>
      <c r="CD93" s="554"/>
      <c r="CE93" s="554"/>
      <c r="CF93" s="554"/>
      <c r="CG93" s="554"/>
      <c r="CH93" s="554"/>
      <c r="CI93" s="554"/>
      <c r="CJ93" s="554"/>
      <c r="CK93" s="554"/>
      <c r="CL93" s="554"/>
      <c r="CM93" s="554"/>
      <c r="CN93" s="554"/>
      <c r="CO93" s="554"/>
      <c r="CP93" s="554"/>
      <c r="CQ93" s="554"/>
      <c r="CR93" s="554"/>
      <c r="CS93" s="554"/>
      <c r="CT93" s="554"/>
      <c r="CU93" s="554"/>
      <c r="CV93" s="554"/>
      <c r="CW93" s="554"/>
      <c r="CX93" s="554"/>
      <c r="CY93" s="554"/>
      <c r="CZ93" s="554"/>
      <c r="DA93" s="554"/>
      <c r="DB93" s="554"/>
      <c r="DC93" s="554"/>
      <c r="DD93" s="554"/>
      <c r="DE93" s="534"/>
      <c r="DF93" s="534"/>
      <c r="DG93" s="534"/>
    </row>
    <row r="94" spans="1:111" ht="15" x14ac:dyDescent="0.25">
      <c r="A94" s="549">
        <f>IF(Control!$D$5="Y","-",1)</f>
        <v>1</v>
      </c>
      <c r="B94" s="555" t="s">
        <v>558</v>
      </c>
      <c r="C94" s="555" t="s">
        <v>559</v>
      </c>
      <c r="D94" s="555" t="s">
        <v>563</v>
      </c>
      <c r="E94" s="556" t="s">
        <v>22</v>
      </c>
      <c r="F94" s="556" t="s">
        <v>22</v>
      </c>
      <c r="G94" s="556" t="str">
        <f>IFERROR(IF(MID('Load Criteria'!X94,FIND("_",'Load Criteria'!X94,1)+1,1)=LEFT(Control!$D$23,1),"YES","-"),"-")</f>
        <v>YES</v>
      </c>
      <c r="H94" s="549" t="str">
        <f>IF(INDEX('Weather Cases'!$G$10:$G$94,MATCH('Load Criteria'!X94,'Weather Cases'!$H$10:$H$94,0),1)="H","YES","")</f>
        <v>YES</v>
      </c>
      <c r="I94" s="557" t="s">
        <v>299</v>
      </c>
      <c r="J94" s="550">
        <f t="shared" si="14"/>
        <v>300</v>
      </c>
      <c r="K94" s="550" t="s">
        <v>60</v>
      </c>
      <c r="L94" s="550" t="s">
        <v>24</v>
      </c>
      <c r="M94" s="550"/>
      <c r="N94" s="550"/>
      <c r="O94" s="550"/>
      <c r="P94" s="392"/>
      <c r="Q94" s="392"/>
      <c r="R94" s="392"/>
      <c r="S94" s="392"/>
      <c r="T94" s="392"/>
      <c r="U94" s="550" t="str">
        <f t="shared" si="26"/>
        <v>BI+</v>
      </c>
      <c r="V94" s="560">
        <f t="shared" si="26"/>
        <v>-45</v>
      </c>
      <c r="W94" s="542" t="str">
        <f t="shared" si="15"/>
        <v>MW0300_A8+DA BI+-45</v>
      </c>
      <c r="X94" s="552" t="str">
        <f>I94&amp;TEXT(J94,"0000")&amp;"_"&amp;LEFT(Control!$D$23,1)&amp;LEFT(Control!$D$22,LEN(Control!$D$22)-2)</f>
        <v>MW0300_A8</v>
      </c>
      <c r="Y94" s="552" t="s">
        <v>433</v>
      </c>
      <c r="Z94" s="552" t="str">
        <f t="shared" si="27"/>
        <v>BI+</v>
      </c>
      <c r="AA94" s="552">
        <f t="shared" si="28"/>
        <v>-45</v>
      </c>
      <c r="AB94" s="552">
        <v>1</v>
      </c>
      <c r="AC94" s="552">
        <v>1</v>
      </c>
      <c r="AD94" s="552">
        <v>1</v>
      </c>
      <c r="AE94" s="552">
        <v>1</v>
      </c>
      <c r="AF94" s="552">
        <v>1</v>
      </c>
      <c r="AG94" s="542" t="s">
        <v>561</v>
      </c>
      <c r="AH94" s="552">
        <v>0</v>
      </c>
      <c r="AI94" s="552">
        <v>0</v>
      </c>
      <c r="AJ94" s="552">
        <v>1</v>
      </c>
      <c r="AK94" s="552">
        <v>1</v>
      </c>
      <c r="AL94" s="552">
        <v>1</v>
      </c>
      <c r="AM94" s="552">
        <v>0</v>
      </c>
      <c r="AN94" s="552">
        <v>0</v>
      </c>
      <c r="AO94" s="552">
        <v>1</v>
      </c>
      <c r="AP94" s="552">
        <v>1</v>
      </c>
      <c r="AQ94" s="552">
        <v>1</v>
      </c>
      <c r="AR94" s="552">
        <v>1</v>
      </c>
      <c r="AS94" s="552">
        <v>1</v>
      </c>
      <c r="AT94" s="552">
        <v>1</v>
      </c>
      <c r="AU94" s="552">
        <v>1</v>
      </c>
      <c r="AV94" s="553" t="str">
        <f>IF(H94="YES","'"&amp;INDEX('Structure Groups'!$C$12:$C$14,MATCH('Load Criteria'!$B$5,'Structure Groups'!$B$12:$B$14,0),1)&amp;"'","'All'")</f>
        <v>'GL Max 800m'</v>
      </c>
      <c r="AW94" s="552" t="s">
        <v>562</v>
      </c>
      <c r="AX94" s="552"/>
      <c r="AY94" s="552" t="str">
        <f t="shared" si="18"/>
        <v>Yes</v>
      </c>
      <c r="AZ94" s="554" t="str">
        <f t="shared" si="19"/>
        <v>Ahead Spans</v>
      </c>
      <c r="BA94" s="554" t="str">
        <f t="shared" si="24"/>
        <v>% Wire Wind Pressure</v>
      </c>
      <c r="BB94" s="552">
        <f t="shared" si="25"/>
        <v>75</v>
      </c>
      <c r="BC94" s="554"/>
      <c r="BD94" s="552"/>
      <c r="BE94" s="554"/>
      <c r="BF94" s="554"/>
      <c r="BG94" s="554"/>
      <c r="BH94" s="554"/>
      <c r="BI94" s="554"/>
      <c r="BJ94" s="554"/>
      <c r="BK94" s="554"/>
      <c r="BL94" s="554"/>
      <c r="BM94" s="554"/>
      <c r="BN94" s="554"/>
      <c r="BO94" s="554"/>
      <c r="BP94" s="554"/>
      <c r="BQ94" s="554"/>
      <c r="BR94" s="554"/>
      <c r="BS94" s="554"/>
      <c r="BT94" s="554"/>
      <c r="BU94" s="554"/>
      <c r="BV94" s="554"/>
      <c r="BW94" s="554"/>
      <c r="BX94" s="554"/>
      <c r="BY94" s="554"/>
      <c r="BZ94" s="554"/>
      <c r="CA94" s="554"/>
      <c r="CB94" s="554"/>
      <c r="CC94" s="554"/>
      <c r="CD94" s="554"/>
      <c r="CE94" s="554"/>
      <c r="CF94" s="554"/>
      <c r="CG94" s="554"/>
      <c r="CH94" s="554"/>
      <c r="CI94" s="554"/>
      <c r="CJ94" s="554"/>
      <c r="CK94" s="554"/>
      <c r="CL94" s="554"/>
      <c r="CM94" s="554"/>
      <c r="CN94" s="554"/>
      <c r="CO94" s="554"/>
      <c r="CP94" s="554"/>
      <c r="CQ94" s="554"/>
      <c r="CR94" s="554"/>
      <c r="CS94" s="554"/>
      <c r="CT94" s="554"/>
      <c r="CU94" s="554"/>
      <c r="CV94" s="554"/>
      <c r="CW94" s="554"/>
      <c r="CX94" s="554"/>
      <c r="CY94" s="554"/>
      <c r="CZ94" s="554"/>
      <c r="DA94" s="554"/>
      <c r="DB94" s="554"/>
      <c r="DC94" s="554"/>
      <c r="DD94" s="554"/>
      <c r="DE94" s="534"/>
      <c r="DF94" s="534"/>
      <c r="DG94" s="534"/>
    </row>
    <row r="95" spans="1:111" ht="15" x14ac:dyDescent="0.25">
      <c r="A95" s="549">
        <f>IF(Control!$D$5="Y","-",1)</f>
        <v>1</v>
      </c>
      <c r="B95" s="555" t="s">
        <v>558</v>
      </c>
      <c r="C95" s="555" t="s">
        <v>559</v>
      </c>
      <c r="D95" s="555" t="s">
        <v>563</v>
      </c>
      <c r="E95" s="556" t="s">
        <v>22</v>
      </c>
      <c r="F95" s="556" t="s">
        <v>22</v>
      </c>
      <c r="G95" s="556" t="str">
        <f>IFERROR(IF(MID('Load Criteria'!X95,FIND("_",'Load Criteria'!X95,1)+1,1)=LEFT(Control!$D$23,1),"YES","-"),"-")</f>
        <v>YES</v>
      </c>
      <c r="H95" s="549" t="str">
        <f>IF(INDEX('Weather Cases'!$G$10:$G$94,MATCH('Load Criteria'!X95,'Weather Cases'!$H$10:$H$94,0),1)="H","YES","")</f>
        <v>YES</v>
      </c>
      <c r="I95" s="557" t="s">
        <v>299</v>
      </c>
      <c r="J95" s="550">
        <f t="shared" si="14"/>
        <v>300</v>
      </c>
      <c r="K95" s="550" t="s">
        <v>60</v>
      </c>
      <c r="L95" s="550" t="s">
        <v>24</v>
      </c>
      <c r="M95" s="550"/>
      <c r="N95" s="550"/>
      <c r="O95" s="550"/>
      <c r="P95" s="392"/>
      <c r="Q95" s="392"/>
      <c r="R95" s="392"/>
      <c r="S95" s="392"/>
      <c r="T95" s="392"/>
      <c r="U95" s="550" t="str">
        <f t="shared" si="26"/>
        <v>BI+</v>
      </c>
      <c r="V95" s="560">
        <f t="shared" si="26"/>
        <v>-90</v>
      </c>
      <c r="W95" s="542" t="str">
        <f t="shared" si="15"/>
        <v>MW0300_A8+DA BI+-90</v>
      </c>
      <c r="X95" s="552" t="str">
        <f>I95&amp;TEXT(J95,"0000")&amp;"_"&amp;LEFT(Control!$D$23,1)&amp;LEFT(Control!$D$22,LEN(Control!$D$22)-2)</f>
        <v>MW0300_A8</v>
      </c>
      <c r="Y95" s="552" t="s">
        <v>433</v>
      </c>
      <c r="Z95" s="552" t="str">
        <f t="shared" si="27"/>
        <v>BI+</v>
      </c>
      <c r="AA95" s="552">
        <f t="shared" si="28"/>
        <v>-90</v>
      </c>
      <c r="AB95" s="552">
        <v>1</v>
      </c>
      <c r="AC95" s="552">
        <v>1</v>
      </c>
      <c r="AD95" s="552">
        <v>1</v>
      </c>
      <c r="AE95" s="552">
        <v>1</v>
      </c>
      <c r="AF95" s="552">
        <v>1</v>
      </c>
      <c r="AG95" s="542" t="s">
        <v>561</v>
      </c>
      <c r="AH95" s="552">
        <v>0</v>
      </c>
      <c r="AI95" s="552">
        <v>0</v>
      </c>
      <c r="AJ95" s="552">
        <v>1</v>
      </c>
      <c r="AK95" s="552">
        <v>1</v>
      </c>
      <c r="AL95" s="552">
        <v>1</v>
      </c>
      <c r="AM95" s="552">
        <v>0</v>
      </c>
      <c r="AN95" s="552">
        <v>0</v>
      </c>
      <c r="AO95" s="552">
        <v>1</v>
      </c>
      <c r="AP95" s="552">
        <v>1</v>
      </c>
      <c r="AQ95" s="552">
        <v>1</v>
      </c>
      <c r="AR95" s="552">
        <v>1</v>
      </c>
      <c r="AS95" s="552">
        <v>1</v>
      </c>
      <c r="AT95" s="552">
        <v>1</v>
      </c>
      <c r="AU95" s="552">
        <v>1</v>
      </c>
      <c r="AV95" s="553" t="str">
        <f>IF(H95="YES","'"&amp;INDEX('Structure Groups'!$C$12:$C$14,MATCH('Load Criteria'!$B$5,'Structure Groups'!$B$12:$B$14,0),1)&amp;"'","'All'")</f>
        <v>'GL Max 800m'</v>
      </c>
      <c r="AW95" s="552" t="s">
        <v>562</v>
      </c>
      <c r="AX95" s="552"/>
      <c r="AY95" s="552" t="str">
        <f t="shared" si="18"/>
        <v>Yes</v>
      </c>
      <c r="AZ95" s="554" t="str">
        <f t="shared" si="19"/>
        <v>Ahead Spans</v>
      </c>
      <c r="BA95" s="554" t="str">
        <f t="shared" si="24"/>
        <v>% Wire Wind Pressure</v>
      </c>
      <c r="BB95" s="552">
        <f t="shared" si="25"/>
        <v>75</v>
      </c>
      <c r="BC95" s="554"/>
      <c r="BD95" s="552"/>
      <c r="BE95" s="554"/>
      <c r="BF95" s="554"/>
      <c r="BG95" s="554"/>
      <c r="BH95" s="554"/>
      <c r="BI95" s="554"/>
      <c r="BJ95" s="554"/>
      <c r="BK95" s="554"/>
      <c r="BL95" s="554"/>
      <c r="BM95" s="554"/>
      <c r="BN95" s="554"/>
      <c r="BO95" s="554"/>
      <c r="BP95" s="554"/>
      <c r="BQ95" s="554"/>
      <c r="BR95" s="554"/>
      <c r="BS95" s="554"/>
      <c r="BT95" s="554"/>
      <c r="BU95" s="554"/>
      <c r="BV95" s="554"/>
      <c r="BW95" s="554"/>
      <c r="BX95" s="554"/>
      <c r="BY95" s="554"/>
      <c r="BZ95" s="554"/>
      <c r="CA95" s="554"/>
      <c r="CB95" s="554"/>
      <c r="CC95" s="554"/>
      <c r="CD95" s="554"/>
      <c r="CE95" s="554"/>
      <c r="CF95" s="554"/>
      <c r="CG95" s="554"/>
      <c r="CH95" s="554"/>
      <c r="CI95" s="554"/>
      <c r="CJ95" s="554"/>
      <c r="CK95" s="554"/>
      <c r="CL95" s="554"/>
      <c r="CM95" s="554"/>
      <c r="CN95" s="554"/>
      <c r="CO95" s="554"/>
      <c r="CP95" s="554"/>
      <c r="CQ95" s="554"/>
      <c r="CR95" s="554"/>
      <c r="CS95" s="554"/>
      <c r="CT95" s="554"/>
      <c r="CU95" s="554"/>
      <c r="CV95" s="554"/>
      <c r="CW95" s="554"/>
      <c r="CX95" s="554"/>
      <c r="CY95" s="554"/>
      <c r="CZ95" s="554"/>
      <c r="DA95" s="554"/>
      <c r="DB95" s="554"/>
      <c r="DC95" s="554"/>
      <c r="DD95" s="554"/>
      <c r="DE95" s="534"/>
      <c r="DF95" s="534"/>
      <c r="DG95" s="534"/>
    </row>
    <row r="96" spans="1:111" ht="15" x14ac:dyDescent="0.25">
      <c r="A96" s="549">
        <f>IF(Control!$D$5="Y","-",1)</f>
        <v>1</v>
      </c>
      <c r="B96" s="555" t="s">
        <v>558</v>
      </c>
      <c r="C96" s="555" t="s">
        <v>559</v>
      </c>
      <c r="D96" s="555" t="s">
        <v>563</v>
      </c>
      <c r="E96" s="556" t="s">
        <v>22</v>
      </c>
      <c r="F96" s="556" t="s">
        <v>22</v>
      </c>
      <c r="G96" s="556" t="str">
        <f>IFERROR(IF(MID('Load Criteria'!X96,FIND("_",'Load Criteria'!X96,1)+1,1)=LEFT(Control!$D$23,1),"YES","-"),"-")</f>
        <v>YES</v>
      </c>
      <c r="H96" s="549" t="str">
        <f>IF(INDEX('Weather Cases'!$G$10:$G$94,MATCH('Load Criteria'!X96,'Weather Cases'!$H$10:$H$94,0),1)="H","YES","")</f>
        <v>YES</v>
      </c>
      <c r="I96" s="557" t="s">
        <v>299</v>
      </c>
      <c r="J96" s="550">
        <f t="shared" si="14"/>
        <v>300</v>
      </c>
      <c r="K96" s="550" t="s">
        <v>60</v>
      </c>
      <c r="L96" s="550" t="s">
        <v>24</v>
      </c>
      <c r="M96" s="550"/>
      <c r="N96" s="550"/>
      <c r="O96" s="550"/>
      <c r="P96" s="392"/>
      <c r="Q96" s="392"/>
      <c r="R96" s="392"/>
      <c r="S96" s="392"/>
      <c r="T96" s="392"/>
      <c r="U96" s="550" t="str">
        <f t="shared" si="26"/>
        <v>BI-</v>
      </c>
      <c r="V96" s="560">
        <f t="shared" si="26"/>
        <v>90</v>
      </c>
      <c r="W96" s="542" t="str">
        <f t="shared" si="15"/>
        <v>MW0300_A8+DA BI-+90</v>
      </c>
      <c r="X96" s="552" t="str">
        <f>I96&amp;TEXT(J96,"0000")&amp;"_"&amp;LEFT(Control!$D$23,1)&amp;LEFT(Control!$D$22,LEN(Control!$D$22)-2)</f>
        <v>MW0300_A8</v>
      </c>
      <c r="Y96" s="552" t="s">
        <v>433</v>
      </c>
      <c r="Z96" s="552" t="str">
        <f t="shared" si="27"/>
        <v>BI-</v>
      </c>
      <c r="AA96" s="552">
        <f t="shared" si="28"/>
        <v>90</v>
      </c>
      <c r="AB96" s="552">
        <v>1</v>
      </c>
      <c r="AC96" s="552">
        <v>1</v>
      </c>
      <c r="AD96" s="552">
        <v>1</v>
      </c>
      <c r="AE96" s="552">
        <v>1</v>
      </c>
      <c r="AF96" s="552">
        <v>1</v>
      </c>
      <c r="AG96" s="542" t="s">
        <v>561</v>
      </c>
      <c r="AH96" s="552">
        <v>0</v>
      </c>
      <c r="AI96" s="552">
        <v>0</v>
      </c>
      <c r="AJ96" s="552">
        <v>1</v>
      </c>
      <c r="AK96" s="552">
        <v>1</v>
      </c>
      <c r="AL96" s="552">
        <v>1</v>
      </c>
      <c r="AM96" s="552">
        <v>0</v>
      </c>
      <c r="AN96" s="552">
        <v>0</v>
      </c>
      <c r="AO96" s="552">
        <v>1</v>
      </c>
      <c r="AP96" s="552">
        <v>1</v>
      </c>
      <c r="AQ96" s="552">
        <v>1</v>
      </c>
      <c r="AR96" s="552">
        <v>1</v>
      </c>
      <c r="AS96" s="552">
        <v>1</v>
      </c>
      <c r="AT96" s="552">
        <v>1</v>
      </c>
      <c r="AU96" s="552">
        <v>1</v>
      </c>
      <c r="AV96" s="553" t="str">
        <f>IF(H96="YES","'"&amp;INDEX('Structure Groups'!$C$12:$C$14,MATCH('Load Criteria'!$B$5,'Structure Groups'!$B$12:$B$14,0),1)&amp;"'","'All'")</f>
        <v>'GL Max 800m'</v>
      </c>
      <c r="AW96" s="552" t="s">
        <v>562</v>
      </c>
      <c r="AX96" s="552"/>
      <c r="AY96" s="552" t="str">
        <f t="shared" si="18"/>
        <v>Yes</v>
      </c>
      <c r="AZ96" s="554" t="str">
        <f t="shared" si="19"/>
        <v>Ahead Spans</v>
      </c>
      <c r="BA96" s="554" t="str">
        <f t="shared" si="24"/>
        <v>% Wire Wind Pressure</v>
      </c>
      <c r="BB96" s="552">
        <f t="shared" si="25"/>
        <v>75</v>
      </c>
      <c r="BC96" s="554"/>
      <c r="BD96" s="552"/>
      <c r="BE96" s="554"/>
      <c r="BF96" s="554"/>
      <c r="BG96" s="554"/>
      <c r="BH96" s="554"/>
      <c r="BI96" s="554"/>
      <c r="BJ96" s="554"/>
      <c r="BK96" s="554"/>
      <c r="BL96" s="554"/>
      <c r="BM96" s="554"/>
      <c r="BN96" s="554"/>
      <c r="BO96" s="554"/>
      <c r="BP96" s="554"/>
      <c r="BQ96" s="554"/>
      <c r="BR96" s="554"/>
      <c r="BS96" s="554"/>
      <c r="BT96" s="554"/>
      <c r="BU96" s="554"/>
      <c r="BV96" s="554"/>
      <c r="BW96" s="554"/>
      <c r="BX96" s="554"/>
      <c r="BY96" s="554"/>
      <c r="BZ96" s="554"/>
      <c r="CA96" s="554"/>
      <c r="CB96" s="554"/>
      <c r="CC96" s="554"/>
      <c r="CD96" s="554"/>
      <c r="CE96" s="554"/>
      <c r="CF96" s="554"/>
      <c r="CG96" s="554"/>
      <c r="CH96" s="554"/>
      <c r="CI96" s="554"/>
      <c r="CJ96" s="554"/>
      <c r="CK96" s="554"/>
      <c r="CL96" s="554"/>
      <c r="CM96" s="554"/>
      <c r="CN96" s="554"/>
      <c r="CO96" s="554"/>
      <c r="CP96" s="554"/>
      <c r="CQ96" s="554"/>
      <c r="CR96" s="554"/>
      <c r="CS96" s="554"/>
      <c r="CT96" s="554"/>
      <c r="CU96" s="554"/>
      <c r="CV96" s="554"/>
      <c r="CW96" s="554"/>
      <c r="CX96" s="554"/>
      <c r="CY96" s="554"/>
      <c r="CZ96" s="554"/>
      <c r="DA96" s="554"/>
      <c r="DB96" s="554"/>
      <c r="DC96" s="554"/>
      <c r="DD96" s="554"/>
      <c r="DE96" s="534"/>
      <c r="DF96" s="534"/>
      <c r="DG96" s="534"/>
    </row>
    <row r="97" spans="1:111" ht="15" x14ac:dyDescent="0.25">
      <c r="A97" s="549">
        <f>IF(Control!$D$5="Y","-",1)</f>
        <v>1</v>
      </c>
      <c r="B97" s="555" t="s">
        <v>558</v>
      </c>
      <c r="C97" s="555" t="s">
        <v>559</v>
      </c>
      <c r="D97" s="555" t="s">
        <v>563</v>
      </c>
      <c r="E97" s="556" t="s">
        <v>22</v>
      </c>
      <c r="F97" s="556" t="s">
        <v>22</v>
      </c>
      <c r="G97" s="556" t="str">
        <f>IFERROR(IF(MID('Load Criteria'!X97,FIND("_",'Load Criteria'!X97,1)+1,1)=LEFT(Control!$D$23,1),"YES","-"),"-")</f>
        <v>YES</v>
      </c>
      <c r="H97" s="549" t="str">
        <f>IF(INDEX('Weather Cases'!$G$10:$G$94,MATCH('Load Criteria'!X97,'Weather Cases'!$H$10:$H$94,0),1)="H","YES","")</f>
        <v>YES</v>
      </c>
      <c r="I97" s="557" t="s">
        <v>299</v>
      </c>
      <c r="J97" s="550">
        <f t="shared" si="14"/>
        <v>300</v>
      </c>
      <c r="K97" s="550" t="s">
        <v>60</v>
      </c>
      <c r="L97" s="550" t="s">
        <v>24</v>
      </c>
      <c r="M97" s="550"/>
      <c r="N97" s="550"/>
      <c r="O97" s="550"/>
      <c r="P97" s="392"/>
      <c r="Q97" s="392"/>
      <c r="R97" s="392"/>
      <c r="S97" s="392"/>
      <c r="T97" s="392"/>
      <c r="U97" s="550" t="str">
        <f t="shared" si="26"/>
        <v>BI-</v>
      </c>
      <c r="V97" s="560">
        <f t="shared" si="26"/>
        <v>45</v>
      </c>
      <c r="W97" s="542" t="str">
        <f t="shared" si="15"/>
        <v>MW0300_A8+DA BI-+45</v>
      </c>
      <c r="X97" s="552" t="str">
        <f>I97&amp;TEXT(J97,"0000")&amp;"_"&amp;LEFT(Control!$D$23,1)&amp;LEFT(Control!$D$22,LEN(Control!$D$22)-2)</f>
        <v>MW0300_A8</v>
      </c>
      <c r="Y97" s="552" t="s">
        <v>433</v>
      </c>
      <c r="Z97" s="552" t="str">
        <f t="shared" ref="Z97:Z105" si="29">U97</f>
        <v>BI-</v>
      </c>
      <c r="AA97" s="552">
        <f t="shared" ref="AA97:AA105" si="30">V97</f>
        <v>45</v>
      </c>
      <c r="AB97" s="552">
        <v>1</v>
      </c>
      <c r="AC97" s="552">
        <v>1</v>
      </c>
      <c r="AD97" s="552">
        <v>1</v>
      </c>
      <c r="AE97" s="552">
        <v>1</v>
      </c>
      <c r="AF97" s="552">
        <v>1</v>
      </c>
      <c r="AG97" s="542" t="s">
        <v>561</v>
      </c>
      <c r="AH97" s="552">
        <v>0</v>
      </c>
      <c r="AI97" s="552">
        <v>0</v>
      </c>
      <c r="AJ97" s="552">
        <v>1</v>
      </c>
      <c r="AK97" s="552">
        <v>1</v>
      </c>
      <c r="AL97" s="552">
        <v>1</v>
      </c>
      <c r="AM97" s="552">
        <v>0</v>
      </c>
      <c r="AN97" s="552">
        <v>0</v>
      </c>
      <c r="AO97" s="552">
        <v>1</v>
      </c>
      <c r="AP97" s="552">
        <v>1</v>
      </c>
      <c r="AQ97" s="552">
        <v>1</v>
      </c>
      <c r="AR97" s="552">
        <v>1</v>
      </c>
      <c r="AS97" s="552">
        <v>1</v>
      </c>
      <c r="AT97" s="552">
        <v>1</v>
      </c>
      <c r="AU97" s="552">
        <v>1</v>
      </c>
      <c r="AV97" s="553" t="str">
        <f>IF(H97="YES","'"&amp;INDEX('Structure Groups'!$C$12:$C$14,MATCH('Load Criteria'!$B$5,'Structure Groups'!$B$12:$B$14,0),1)&amp;"'","'All'")</f>
        <v>'GL Max 800m'</v>
      </c>
      <c r="AW97" s="552" t="s">
        <v>562</v>
      </c>
      <c r="AX97" s="552"/>
      <c r="AY97" s="552" t="str">
        <f t="shared" si="18"/>
        <v>Yes</v>
      </c>
      <c r="AZ97" s="554" t="str">
        <f t="shared" si="19"/>
        <v>Ahead Spans</v>
      </c>
      <c r="BA97" s="554" t="str">
        <f t="shared" si="24"/>
        <v>% Wire Wind Pressure</v>
      </c>
      <c r="BB97" s="552">
        <f t="shared" si="25"/>
        <v>75</v>
      </c>
      <c r="BC97" s="554"/>
      <c r="BD97" s="552"/>
      <c r="BE97" s="554"/>
      <c r="BF97" s="554"/>
      <c r="BG97" s="554"/>
      <c r="BH97" s="554"/>
      <c r="BI97" s="554"/>
      <c r="BJ97" s="554"/>
      <c r="BK97" s="554"/>
      <c r="BL97" s="554"/>
      <c r="BM97" s="554"/>
      <c r="BN97" s="554"/>
      <c r="BO97" s="554"/>
      <c r="BP97" s="554"/>
      <c r="BQ97" s="554"/>
      <c r="BR97" s="554"/>
      <c r="BS97" s="554"/>
      <c r="BT97" s="554"/>
      <c r="BU97" s="554"/>
      <c r="BV97" s="554"/>
      <c r="BW97" s="554"/>
      <c r="BX97" s="554"/>
      <c r="BY97" s="554"/>
      <c r="BZ97" s="554"/>
      <c r="CA97" s="554"/>
      <c r="CB97" s="554"/>
      <c r="CC97" s="554"/>
      <c r="CD97" s="554"/>
      <c r="CE97" s="554"/>
      <c r="CF97" s="554"/>
      <c r="CG97" s="554"/>
      <c r="CH97" s="554"/>
      <c r="CI97" s="554"/>
      <c r="CJ97" s="554"/>
      <c r="CK97" s="554"/>
      <c r="CL97" s="554"/>
      <c r="CM97" s="554"/>
      <c r="CN97" s="554"/>
      <c r="CO97" s="554"/>
      <c r="CP97" s="554"/>
      <c r="CQ97" s="554"/>
      <c r="CR97" s="554"/>
      <c r="CS97" s="554"/>
      <c r="CT97" s="554"/>
      <c r="CU97" s="554"/>
      <c r="CV97" s="554"/>
      <c r="CW97" s="554"/>
      <c r="CX97" s="554"/>
      <c r="CY97" s="554"/>
      <c r="CZ97" s="554"/>
      <c r="DA97" s="554"/>
      <c r="DB97" s="554"/>
      <c r="DC97" s="554"/>
      <c r="DD97" s="554"/>
      <c r="DE97" s="534"/>
      <c r="DF97" s="534"/>
      <c r="DG97" s="534"/>
    </row>
    <row r="98" spans="1:111" ht="15" x14ac:dyDescent="0.25">
      <c r="A98" s="549">
        <f>IF(Control!$D$5="Y","-",1)</f>
        <v>1</v>
      </c>
      <c r="B98" s="555" t="s">
        <v>558</v>
      </c>
      <c r="C98" s="555" t="s">
        <v>559</v>
      </c>
      <c r="D98" s="555" t="s">
        <v>563</v>
      </c>
      <c r="E98" s="556" t="s">
        <v>22</v>
      </c>
      <c r="F98" s="556" t="s">
        <v>22</v>
      </c>
      <c r="G98" s="556" t="str">
        <f>IFERROR(IF(MID('Load Criteria'!X98,FIND("_",'Load Criteria'!X98,1)+1,1)=LEFT(Control!$D$23,1),"YES","-"),"-")</f>
        <v>YES</v>
      </c>
      <c r="H98" s="549" t="str">
        <f>IF(INDEX('Weather Cases'!$G$10:$G$94,MATCH('Load Criteria'!X98,'Weather Cases'!$H$10:$H$94,0),1)="H","YES","")</f>
        <v>YES</v>
      </c>
      <c r="I98" s="557" t="s">
        <v>299</v>
      </c>
      <c r="J98" s="550">
        <f t="shared" si="14"/>
        <v>300</v>
      </c>
      <c r="K98" s="550" t="s">
        <v>60</v>
      </c>
      <c r="L98" s="550" t="s">
        <v>24</v>
      </c>
      <c r="M98" s="550"/>
      <c r="N98" s="550"/>
      <c r="O98" s="550"/>
      <c r="P98" s="392"/>
      <c r="Q98" s="392"/>
      <c r="R98" s="392"/>
      <c r="S98" s="392"/>
      <c r="T98" s="392"/>
      <c r="U98" s="550" t="str">
        <f t="shared" si="26"/>
        <v>BI-</v>
      </c>
      <c r="V98" s="560">
        <f t="shared" si="26"/>
        <v>30</v>
      </c>
      <c r="W98" s="542" t="str">
        <f t="shared" si="15"/>
        <v>MW0300_A8+DA BI-+30</v>
      </c>
      <c r="X98" s="552" t="str">
        <f>I98&amp;TEXT(J98,"0000")&amp;"_"&amp;LEFT(Control!$D$23,1)&amp;LEFT(Control!$D$22,LEN(Control!$D$22)-2)</f>
        <v>MW0300_A8</v>
      </c>
      <c r="Y98" s="552" t="s">
        <v>433</v>
      </c>
      <c r="Z98" s="552" t="str">
        <f t="shared" si="29"/>
        <v>BI-</v>
      </c>
      <c r="AA98" s="552">
        <f t="shared" si="30"/>
        <v>30</v>
      </c>
      <c r="AB98" s="552">
        <v>1</v>
      </c>
      <c r="AC98" s="552">
        <v>1</v>
      </c>
      <c r="AD98" s="552">
        <v>1</v>
      </c>
      <c r="AE98" s="552">
        <v>1</v>
      </c>
      <c r="AF98" s="552">
        <v>1</v>
      </c>
      <c r="AG98" s="542" t="s">
        <v>561</v>
      </c>
      <c r="AH98" s="552">
        <v>0</v>
      </c>
      <c r="AI98" s="552">
        <v>0</v>
      </c>
      <c r="AJ98" s="552">
        <v>1</v>
      </c>
      <c r="AK98" s="552">
        <v>1</v>
      </c>
      <c r="AL98" s="552">
        <v>1</v>
      </c>
      <c r="AM98" s="552">
        <v>0</v>
      </c>
      <c r="AN98" s="552">
        <v>0</v>
      </c>
      <c r="AO98" s="552">
        <v>1</v>
      </c>
      <c r="AP98" s="552">
        <v>1</v>
      </c>
      <c r="AQ98" s="552">
        <v>1</v>
      </c>
      <c r="AR98" s="552">
        <v>1</v>
      </c>
      <c r="AS98" s="552">
        <v>1</v>
      </c>
      <c r="AT98" s="552">
        <v>1</v>
      </c>
      <c r="AU98" s="552">
        <v>1</v>
      </c>
      <c r="AV98" s="553" t="str">
        <f>IF(H98="YES","'"&amp;INDEX('Structure Groups'!$C$12:$C$14,MATCH('Load Criteria'!$B$5,'Structure Groups'!$B$12:$B$14,0),1)&amp;"'","'All'")</f>
        <v>'GL Max 800m'</v>
      </c>
      <c r="AW98" s="552" t="s">
        <v>562</v>
      </c>
      <c r="AX98" s="552"/>
      <c r="AY98" s="552" t="str">
        <f t="shared" si="18"/>
        <v>Yes</v>
      </c>
      <c r="AZ98" s="554" t="str">
        <f t="shared" si="19"/>
        <v>Ahead Spans</v>
      </c>
      <c r="BA98" s="554" t="str">
        <f t="shared" si="24"/>
        <v>% Wire Wind Pressure</v>
      </c>
      <c r="BB98" s="552">
        <f t="shared" si="25"/>
        <v>75</v>
      </c>
      <c r="BC98" s="554"/>
      <c r="BD98" s="552"/>
      <c r="BE98" s="554"/>
      <c r="BF98" s="554"/>
      <c r="BG98" s="554"/>
      <c r="BH98" s="554"/>
      <c r="BI98" s="554"/>
      <c r="BJ98" s="554"/>
      <c r="BK98" s="554"/>
      <c r="BL98" s="554"/>
      <c r="BM98" s="554"/>
      <c r="BN98" s="554"/>
      <c r="BO98" s="554"/>
      <c r="BP98" s="554"/>
      <c r="BQ98" s="554"/>
      <c r="BR98" s="554"/>
      <c r="BS98" s="554"/>
      <c r="BT98" s="554"/>
      <c r="BU98" s="554"/>
      <c r="BV98" s="554"/>
      <c r="BW98" s="554"/>
      <c r="BX98" s="554"/>
      <c r="BY98" s="554"/>
      <c r="BZ98" s="554"/>
      <c r="CA98" s="554"/>
      <c r="CB98" s="554"/>
      <c r="CC98" s="554"/>
      <c r="CD98" s="554"/>
      <c r="CE98" s="554"/>
      <c r="CF98" s="554"/>
      <c r="CG98" s="554"/>
      <c r="CH98" s="554"/>
      <c r="CI98" s="554"/>
      <c r="CJ98" s="554"/>
      <c r="CK98" s="554"/>
      <c r="CL98" s="554"/>
      <c r="CM98" s="554"/>
      <c r="CN98" s="554"/>
      <c r="CO98" s="554"/>
      <c r="CP98" s="554"/>
      <c r="CQ98" s="554"/>
      <c r="CR98" s="554"/>
      <c r="CS98" s="554"/>
      <c r="CT98" s="554"/>
      <c r="CU98" s="554"/>
      <c r="CV98" s="554"/>
      <c r="CW98" s="554"/>
      <c r="CX98" s="554"/>
      <c r="CY98" s="554"/>
      <c r="CZ98" s="554"/>
      <c r="DA98" s="554"/>
      <c r="DB98" s="554"/>
      <c r="DC98" s="554"/>
      <c r="DD98" s="554"/>
      <c r="DE98" s="534"/>
      <c r="DF98" s="534"/>
      <c r="DG98" s="534"/>
    </row>
    <row r="99" spans="1:111" ht="15" x14ac:dyDescent="0.25">
      <c r="A99" s="549">
        <f>IF(Control!$D$5="Y","-",1)</f>
        <v>1</v>
      </c>
      <c r="B99" s="555" t="s">
        <v>558</v>
      </c>
      <c r="C99" s="555" t="s">
        <v>559</v>
      </c>
      <c r="D99" s="555" t="s">
        <v>563</v>
      </c>
      <c r="E99" s="556" t="s">
        <v>22</v>
      </c>
      <c r="F99" s="556" t="s">
        <v>22</v>
      </c>
      <c r="G99" s="556" t="str">
        <f>IFERROR(IF(MID('Load Criteria'!X99,FIND("_",'Load Criteria'!X99,1)+1,1)=LEFT(Control!$D$23,1),"YES","-"),"-")</f>
        <v>YES</v>
      </c>
      <c r="H99" s="549" t="str">
        <f>IF(INDEX('Weather Cases'!$G$10:$G$94,MATCH('Load Criteria'!X99,'Weather Cases'!$H$10:$H$94,0),1)="H","YES","")</f>
        <v>YES</v>
      </c>
      <c r="I99" s="557" t="s">
        <v>299</v>
      </c>
      <c r="J99" s="550">
        <f t="shared" si="14"/>
        <v>300</v>
      </c>
      <c r="K99" s="550" t="s">
        <v>60</v>
      </c>
      <c r="L99" s="550" t="s">
        <v>24</v>
      </c>
      <c r="M99" s="550"/>
      <c r="N99" s="550"/>
      <c r="O99" s="550"/>
      <c r="P99" s="392"/>
      <c r="Q99" s="392"/>
      <c r="R99" s="392"/>
      <c r="S99" s="392"/>
      <c r="T99" s="392"/>
      <c r="U99" s="550" t="str">
        <f t="shared" si="26"/>
        <v>BI-</v>
      </c>
      <c r="V99" s="560">
        <f t="shared" si="26"/>
        <v>15</v>
      </c>
      <c r="W99" s="542" t="str">
        <f t="shared" si="15"/>
        <v>MW0300_A8+DA BI-+15</v>
      </c>
      <c r="X99" s="552" t="str">
        <f>I99&amp;TEXT(J99,"0000")&amp;"_"&amp;LEFT(Control!$D$23,1)&amp;LEFT(Control!$D$22,LEN(Control!$D$22)-2)</f>
        <v>MW0300_A8</v>
      </c>
      <c r="Y99" s="552" t="s">
        <v>433</v>
      </c>
      <c r="Z99" s="552" t="str">
        <f t="shared" si="29"/>
        <v>BI-</v>
      </c>
      <c r="AA99" s="552">
        <f t="shared" si="30"/>
        <v>15</v>
      </c>
      <c r="AB99" s="552">
        <v>1</v>
      </c>
      <c r="AC99" s="552">
        <v>1</v>
      </c>
      <c r="AD99" s="552">
        <v>1</v>
      </c>
      <c r="AE99" s="552">
        <v>1</v>
      </c>
      <c r="AF99" s="552">
        <v>1</v>
      </c>
      <c r="AG99" s="542" t="s">
        <v>561</v>
      </c>
      <c r="AH99" s="552">
        <v>0</v>
      </c>
      <c r="AI99" s="552">
        <v>0</v>
      </c>
      <c r="AJ99" s="552">
        <v>1</v>
      </c>
      <c r="AK99" s="552">
        <v>1</v>
      </c>
      <c r="AL99" s="552">
        <v>1</v>
      </c>
      <c r="AM99" s="552">
        <v>0</v>
      </c>
      <c r="AN99" s="552">
        <v>0</v>
      </c>
      <c r="AO99" s="552">
        <v>1</v>
      </c>
      <c r="AP99" s="552">
        <v>1</v>
      </c>
      <c r="AQ99" s="552">
        <v>1</v>
      </c>
      <c r="AR99" s="552">
        <v>1</v>
      </c>
      <c r="AS99" s="552">
        <v>1</v>
      </c>
      <c r="AT99" s="552">
        <v>1</v>
      </c>
      <c r="AU99" s="552">
        <v>1</v>
      </c>
      <c r="AV99" s="553" t="str">
        <f>IF(H99="YES","'"&amp;INDEX('Structure Groups'!$C$12:$C$14,MATCH('Load Criteria'!$B$5,'Structure Groups'!$B$12:$B$14,0),1)&amp;"'","'All'")</f>
        <v>'GL Max 800m'</v>
      </c>
      <c r="AW99" s="552" t="s">
        <v>562</v>
      </c>
      <c r="AX99" s="552"/>
      <c r="AY99" s="552" t="str">
        <f t="shared" si="18"/>
        <v>Yes</v>
      </c>
      <c r="AZ99" s="554" t="str">
        <f t="shared" si="19"/>
        <v>Ahead Spans</v>
      </c>
      <c r="BA99" s="554" t="str">
        <f t="shared" si="24"/>
        <v>% Wire Wind Pressure</v>
      </c>
      <c r="BB99" s="552">
        <f t="shared" si="25"/>
        <v>75</v>
      </c>
      <c r="BC99" s="554"/>
      <c r="BD99" s="552"/>
      <c r="BE99" s="554"/>
      <c r="BF99" s="554"/>
      <c r="BG99" s="554"/>
      <c r="BH99" s="554"/>
      <c r="BI99" s="554"/>
      <c r="BJ99" s="554"/>
      <c r="BK99" s="554"/>
      <c r="BL99" s="554"/>
      <c r="BM99" s="554"/>
      <c r="BN99" s="554"/>
      <c r="BO99" s="554"/>
      <c r="BP99" s="554"/>
      <c r="BQ99" s="554"/>
      <c r="BR99" s="554"/>
      <c r="BS99" s="554"/>
      <c r="BT99" s="554"/>
      <c r="BU99" s="554"/>
      <c r="BV99" s="554"/>
      <c r="BW99" s="554"/>
      <c r="BX99" s="554"/>
      <c r="BY99" s="554"/>
      <c r="BZ99" s="554"/>
      <c r="CA99" s="554"/>
      <c r="CB99" s="554"/>
      <c r="CC99" s="554"/>
      <c r="CD99" s="554"/>
      <c r="CE99" s="554"/>
      <c r="CF99" s="554"/>
      <c r="CG99" s="554"/>
      <c r="CH99" s="554"/>
      <c r="CI99" s="554"/>
      <c r="CJ99" s="554"/>
      <c r="CK99" s="554"/>
      <c r="CL99" s="554"/>
      <c r="CM99" s="554"/>
      <c r="CN99" s="554"/>
      <c r="CO99" s="554"/>
      <c r="CP99" s="554"/>
      <c r="CQ99" s="554"/>
      <c r="CR99" s="554"/>
      <c r="CS99" s="554"/>
      <c r="CT99" s="554"/>
      <c r="CU99" s="554"/>
      <c r="CV99" s="554"/>
      <c r="CW99" s="554"/>
      <c r="CX99" s="554"/>
      <c r="CY99" s="554"/>
      <c r="CZ99" s="554"/>
      <c r="DA99" s="554"/>
      <c r="DB99" s="554"/>
      <c r="DC99" s="554"/>
      <c r="DD99" s="554"/>
      <c r="DE99" s="534"/>
      <c r="DF99" s="534"/>
      <c r="DG99" s="534"/>
    </row>
    <row r="100" spans="1:111" ht="15" x14ac:dyDescent="0.25">
      <c r="A100" s="549">
        <f>IF(Control!$D$5="Y","-",1)</f>
        <v>1</v>
      </c>
      <c r="B100" s="555" t="s">
        <v>558</v>
      </c>
      <c r="C100" s="555" t="s">
        <v>559</v>
      </c>
      <c r="D100" s="555" t="s">
        <v>563</v>
      </c>
      <c r="E100" s="556" t="s">
        <v>22</v>
      </c>
      <c r="F100" s="556" t="s">
        <v>22</v>
      </c>
      <c r="G100" s="556" t="str">
        <f>IFERROR(IF(MID('Load Criteria'!X100,FIND("_",'Load Criteria'!X100,1)+1,1)=LEFT(Control!$D$23,1),"YES","-"),"-")</f>
        <v>YES</v>
      </c>
      <c r="H100" s="549" t="str">
        <f>IF(INDEX('Weather Cases'!$G$10:$G$94,MATCH('Load Criteria'!X100,'Weather Cases'!$H$10:$H$94,0),1)="H","YES","")</f>
        <v>YES</v>
      </c>
      <c r="I100" s="557" t="s">
        <v>299</v>
      </c>
      <c r="J100" s="550">
        <f t="shared" si="14"/>
        <v>300</v>
      </c>
      <c r="K100" s="550" t="s">
        <v>60</v>
      </c>
      <c r="L100" s="550" t="s">
        <v>24</v>
      </c>
      <c r="M100" s="550"/>
      <c r="N100" s="550"/>
      <c r="O100" s="550"/>
      <c r="P100" s="392"/>
      <c r="Q100" s="392"/>
      <c r="R100" s="392"/>
      <c r="S100" s="392"/>
      <c r="T100" s="392"/>
      <c r="U100" s="550" t="str">
        <f t="shared" si="26"/>
        <v>BI-</v>
      </c>
      <c r="V100" s="560">
        <f t="shared" si="26"/>
        <v>0</v>
      </c>
      <c r="W100" s="542" t="str">
        <f t="shared" si="15"/>
        <v>MW0300_A8+DA BI-+00</v>
      </c>
      <c r="X100" s="552" t="str">
        <f>I100&amp;TEXT(J100,"0000")&amp;"_"&amp;LEFT(Control!$D$23,1)&amp;LEFT(Control!$D$22,LEN(Control!$D$22)-2)</f>
        <v>MW0300_A8</v>
      </c>
      <c r="Y100" s="552" t="s">
        <v>433</v>
      </c>
      <c r="Z100" s="552" t="str">
        <f t="shared" si="29"/>
        <v>BI-</v>
      </c>
      <c r="AA100" s="552">
        <f t="shared" si="30"/>
        <v>0</v>
      </c>
      <c r="AB100" s="552">
        <v>1</v>
      </c>
      <c r="AC100" s="552">
        <v>1</v>
      </c>
      <c r="AD100" s="552">
        <v>1</v>
      </c>
      <c r="AE100" s="552">
        <v>1</v>
      </c>
      <c r="AF100" s="552">
        <v>1</v>
      </c>
      <c r="AG100" s="542" t="s">
        <v>561</v>
      </c>
      <c r="AH100" s="552">
        <v>0</v>
      </c>
      <c r="AI100" s="552">
        <v>0</v>
      </c>
      <c r="AJ100" s="552">
        <v>1</v>
      </c>
      <c r="AK100" s="552">
        <v>1</v>
      </c>
      <c r="AL100" s="552">
        <v>1</v>
      </c>
      <c r="AM100" s="552">
        <v>0</v>
      </c>
      <c r="AN100" s="552">
        <v>0</v>
      </c>
      <c r="AO100" s="552">
        <v>1</v>
      </c>
      <c r="AP100" s="552">
        <v>1</v>
      </c>
      <c r="AQ100" s="552">
        <v>1</v>
      </c>
      <c r="AR100" s="552">
        <v>1</v>
      </c>
      <c r="AS100" s="552">
        <v>1</v>
      </c>
      <c r="AT100" s="552">
        <v>1</v>
      </c>
      <c r="AU100" s="552">
        <v>1</v>
      </c>
      <c r="AV100" s="553" t="str">
        <f>IF(H100="YES","'"&amp;INDEX('Structure Groups'!$C$12:$C$14,MATCH('Load Criteria'!$B$5,'Structure Groups'!$B$12:$B$14,0),1)&amp;"'","'All'")</f>
        <v>'GL Max 800m'</v>
      </c>
      <c r="AW100" s="552" t="s">
        <v>562</v>
      </c>
      <c r="AX100" s="552"/>
      <c r="AY100" s="552" t="str">
        <f t="shared" si="18"/>
        <v>Yes</v>
      </c>
      <c r="AZ100" s="554" t="str">
        <f t="shared" si="19"/>
        <v>Ahead Spans</v>
      </c>
      <c r="BA100" s="554" t="str">
        <f t="shared" si="24"/>
        <v>% Wire Wind Pressure</v>
      </c>
      <c r="BB100" s="552">
        <f t="shared" si="25"/>
        <v>75</v>
      </c>
      <c r="BC100" s="554"/>
      <c r="BD100" s="552"/>
      <c r="BE100" s="554"/>
      <c r="BF100" s="554"/>
      <c r="BG100" s="554"/>
      <c r="BH100" s="554"/>
      <c r="BI100" s="554"/>
      <c r="BJ100" s="554"/>
      <c r="BK100" s="554"/>
      <c r="BL100" s="554"/>
      <c r="BM100" s="554"/>
      <c r="BN100" s="554"/>
      <c r="BO100" s="554"/>
      <c r="BP100" s="554"/>
      <c r="BQ100" s="554"/>
      <c r="BR100" s="554"/>
      <c r="BS100" s="554"/>
      <c r="BT100" s="554"/>
      <c r="BU100" s="554"/>
      <c r="BV100" s="554"/>
      <c r="BW100" s="554"/>
      <c r="BX100" s="554"/>
      <c r="BY100" s="554"/>
      <c r="BZ100" s="554"/>
      <c r="CA100" s="554"/>
      <c r="CB100" s="554"/>
      <c r="CC100" s="554"/>
      <c r="CD100" s="554"/>
      <c r="CE100" s="554"/>
      <c r="CF100" s="554"/>
      <c r="CG100" s="554"/>
      <c r="CH100" s="554"/>
      <c r="CI100" s="554"/>
      <c r="CJ100" s="554"/>
      <c r="CK100" s="554"/>
      <c r="CL100" s="554"/>
      <c r="CM100" s="554"/>
      <c r="CN100" s="554"/>
      <c r="CO100" s="554"/>
      <c r="CP100" s="554"/>
      <c r="CQ100" s="554"/>
      <c r="CR100" s="554"/>
      <c r="CS100" s="554"/>
      <c r="CT100" s="554"/>
      <c r="CU100" s="554"/>
      <c r="CV100" s="554"/>
      <c r="CW100" s="554"/>
      <c r="CX100" s="554"/>
      <c r="CY100" s="554"/>
      <c r="CZ100" s="554"/>
      <c r="DA100" s="554"/>
      <c r="DB100" s="554"/>
      <c r="DC100" s="554"/>
      <c r="DD100" s="554"/>
      <c r="DE100" s="534"/>
      <c r="DF100" s="534"/>
      <c r="DG100" s="534"/>
    </row>
    <row r="101" spans="1:111" ht="15" x14ac:dyDescent="0.25">
      <c r="A101" s="549">
        <f>IF(Control!$D$5="Y","-",1)</f>
        <v>1</v>
      </c>
      <c r="B101" s="555" t="s">
        <v>558</v>
      </c>
      <c r="C101" s="555" t="s">
        <v>559</v>
      </c>
      <c r="D101" s="555" t="s">
        <v>563</v>
      </c>
      <c r="E101" s="556" t="s">
        <v>22</v>
      </c>
      <c r="F101" s="556" t="s">
        <v>22</v>
      </c>
      <c r="G101" s="556" t="str">
        <f>IFERROR(IF(MID('Load Criteria'!X101,FIND("_",'Load Criteria'!X101,1)+1,1)=LEFT(Control!$D$23,1),"YES","-"),"-")</f>
        <v>YES</v>
      </c>
      <c r="H101" s="549" t="str">
        <f>IF(INDEX('Weather Cases'!$G$10:$G$94,MATCH('Load Criteria'!X101,'Weather Cases'!$H$10:$H$94,0),1)="H","YES","")</f>
        <v>YES</v>
      </c>
      <c r="I101" s="557" t="s">
        <v>299</v>
      </c>
      <c r="J101" s="550">
        <f t="shared" ref="J101:J149" si="31">Selected_Line_Reliability</f>
        <v>300</v>
      </c>
      <c r="K101" s="550" t="s">
        <v>60</v>
      </c>
      <c r="L101" s="550" t="s">
        <v>24</v>
      </c>
      <c r="M101" s="550"/>
      <c r="N101" s="550"/>
      <c r="O101" s="550"/>
      <c r="P101" s="392"/>
      <c r="Q101" s="392"/>
      <c r="R101" s="392"/>
      <c r="S101" s="392"/>
      <c r="T101" s="392"/>
      <c r="U101" s="550" t="str">
        <f t="shared" si="26"/>
        <v>BI-</v>
      </c>
      <c r="V101" s="560">
        <f t="shared" si="26"/>
        <v>-15</v>
      </c>
      <c r="W101" s="542" t="str">
        <f t="shared" si="15"/>
        <v>MW0300_A8+DA BI--15</v>
      </c>
      <c r="X101" s="552" t="str">
        <f>I101&amp;TEXT(J101,"0000")&amp;"_"&amp;LEFT(Control!$D$23,1)&amp;LEFT(Control!$D$22,LEN(Control!$D$22)-2)</f>
        <v>MW0300_A8</v>
      </c>
      <c r="Y101" s="552" t="s">
        <v>433</v>
      </c>
      <c r="Z101" s="552" t="str">
        <f t="shared" si="29"/>
        <v>BI-</v>
      </c>
      <c r="AA101" s="552">
        <f t="shared" si="30"/>
        <v>-15</v>
      </c>
      <c r="AB101" s="552">
        <v>1</v>
      </c>
      <c r="AC101" s="552">
        <v>1</v>
      </c>
      <c r="AD101" s="552">
        <v>1</v>
      </c>
      <c r="AE101" s="552">
        <v>1</v>
      </c>
      <c r="AF101" s="552">
        <v>1</v>
      </c>
      <c r="AG101" s="542" t="s">
        <v>561</v>
      </c>
      <c r="AH101" s="552">
        <v>0</v>
      </c>
      <c r="AI101" s="552">
        <v>0</v>
      </c>
      <c r="AJ101" s="552">
        <v>1</v>
      </c>
      <c r="AK101" s="552">
        <v>1</v>
      </c>
      <c r="AL101" s="552">
        <v>1</v>
      </c>
      <c r="AM101" s="552">
        <v>0</v>
      </c>
      <c r="AN101" s="552">
        <v>0</v>
      </c>
      <c r="AO101" s="552">
        <v>1</v>
      </c>
      <c r="AP101" s="552">
        <v>1</v>
      </c>
      <c r="AQ101" s="552">
        <v>1</v>
      </c>
      <c r="AR101" s="552">
        <v>1</v>
      </c>
      <c r="AS101" s="552">
        <v>1</v>
      </c>
      <c r="AT101" s="552">
        <v>1</v>
      </c>
      <c r="AU101" s="552">
        <v>1</v>
      </c>
      <c r="AV101" s="553" t="str">
        <f>IF(H101="YES","'"&amp;INDEX('Structure Groups'!$C$12:$C$14,MATCH('Load Criteria'!$B$5,'Structure Groups'!$B$12:$B$14,0),1)&amp;"'","'All'")</f>
        <v>'GL Max 800m'</v>
      </c>
      <c r="AW101" s="552" t="s">
        <v>562</v>
      </c>
      <c r="AX101" s="552"/>
      <c r="AY101" s="552" t="str">
        <f t="shared" si="18"/>
        <v>Yes</v>
      </c>
      <c r="AZ101" s="554" t="str">
        <f t="shared" si="19"/>
        <v>Ahead Spans</v>
      </c>
      <c r="BA101" s="554" t="str">
        <f t="shared" si="24"/>
        <v>% Wire Wind Pressure</v>
      </c>
      <c r="BB101" s="552">
        <f t="shared" si="25"/>
        <v>75</v>
      </c>
      <c r="BC101" s="554"/>
      <c r="BD101" s="552"/>
      <c r="BE101" s="554"/>
      <c r="BF101" s="554"/>
      <c r="BG101" s="554"/>
      <c r="BH101" s="554"/>
      <c r="BI101" s="554"/>
      <c r="BJ101" s="554"/>
      <c r="BK101" s="554"/>
      <c r="BL101" s="554"/>
      <c r="BM101" s="554"/>
      <c r="BN101" s="554"/>
      <c r="BO101" s="554"/>
      <c r="BP101" s="554"/>
      <c r="BQ101" s="554"/>
      <c r="BR101" s="554"/>
      <c r="BS101" s="554"/>
      <c r="BT101" s="554"/>
      <c r="BU101" s="554"/>
      <c r="BV101" s="554"/>
      <c r="BW101" s="554"/>
      <c r="BX101" s="554"/>
      <c r="BY101" s="554"/>
      <c r="BZ101" s="554"/>
      <c r="CA101" s="554"/>
      <c r="CB101" s="554"/>
      <c r="CC101" s="554"/>
      <c r="CD101" s="554"/>
      <c r="CE101" s="554"/>
      <c r="CF101" s="554"/>
      <c r="CG101" s="554"/>
      <c r="CH101" s="554"/>
      <c r="CI101" s="554"/>
      <c r="CJ101" s="554"/>
      <c r="CK101" s="554"/>
      <c r="CL101" s="554"/>
      <c r="CM101" s="554"/>
      <c r="CN101" s="554"/>
      <c r="CO101" s="554"/>
      <c r="CP101" s="554"/>
      <c r="CQ101" s="554"/>
      <c r="CR101" s="554"/>
      <c r="CS101" s="554"/>
      <c r="CT101" s="554"/>
      <c r="CU101" s="554"/>
      <c r="CV101" s="554"/>
      <c r="CW101" s="554"/>
      <c r="CX101" s="554"/>
      <c r="CY101" s="554"/>
      <c r="CZ101" s="554"/>
      <c r="DA101" s="554"/>
      <c r="DB101" s="554"/>
      <c r="DC101" s="554"/>
      <c r="DD101" s="554"/>
      <c r="DE101" s="534"/>
      <c r="DF101" s="534"/>
      <c r="DG101" s="534"/>
    </row>
    <row r="102" spans="1:111" ht="15" x14ac:dyDescent="0.25">
      <c r="A102" s="549">
        <f>IF(Control!$D$5="Y","-",1)</f>
        <v>1</v>
      </c>
      <c r="B102" s="555" t="s">
        <v>558</v>
      </c>
      <c r="C102" s="555" t="s">
        <v>559</v>
      </c>
      <c r="D102" s="555" t="s">
        <v>563</v>
      </c>
      <c r="E102" s="556" t="s">
        <v>22</v>
      </c>
      <c r="F102" s="556" t="s">
        <v>22</v>
      </c>
      <c r="G102" s="556" t="str">
        <f>IFERROR(IF(MID('Load Criteria'!X102,FIND("_",'Load Criteria'!X102,1)+1,1)=LEFT(Control!$D$23,1),"YES","-"),"-")</f>
        <v>YES</v>
      </c>
      <c r="H102" s="549" t="str">
        <f>IF(INDEX('Weather Cases'!$G$10:$G$94,MATCH('Load Criteria'!X102,'Weather Cases'!$H$10:$H$94,0),1)="H","YES","")</f>
        <v>YES</v>
      </c>
      <c r="I102" s="557" t="s">
        <v>299</v>
      </c>
      <c r="J102" s="550">
        <f t="shared" si="31"/>
        <v>300</v>
      </c>
      <c r="K102" s="550" t="s">
        <v>60</v>
      </c>
      <c r="L102" s="550" t="s">
        <v>24</v>
      </c>
      <c r="M102" s="550"/>
      <c r="N102" s="550"/>
      <c r="O102" s="550"/>
      <c r="P102" s="392"/>
      <c r="Q102" s="392"/>
      <c r="R102" s="392"/>
      <c r="S102" s="392"/>
      <c r="T102" s="392"/>
      <c r="U102" s="550" t="str">
        <f t="shared" si="26"/>
        <v>BI-</v>
      </c>
      <c r="V102" s="560">
        <f t="shared" si="26"/>
        <v>-30</v>
      </c>
      <c r="W102" s="542" t="str">
        <f t="shared" si="15"/>
        <v>MW0300_A8+DA BI--30</v>
      </c>
      <c r="X102" s="552" t="str">
        <f>I102&amp;TEXT(J102,"0000")&amp;"_"&amp;LEFT(Control!$D$23,1)&amp;LEFT(Control!$D$22,LEN(Control!$D$22)-2)</f>
        <v>MW0300_A8</v>
      </c>
      <c r="Y102" s="552" t="s">
        <v>433</v>
      </c>
      <c r="Z102" s="552" t="str">
        <f t="shared" si="29"/>
        <v>BI-</v>
      </c>
      <c r="AA102" s="552">
        <f t="shared" si="30"/>
        <v>-30</v>
      </c>
      <c r="AB102" s="552">
        <v>1</v>
      </c>
      <c r="AC102" s="552">
        <v>1</v>
      </c>
      <c r="AD102" s="552">
        <v>1</v>
      </c>
      <c r="AE102" s="552">
        <v>1</v>
      </c>
      <c r="AF102" s="552">
        <v>1</v>
      </c>
      <c r="AG102" s="542" t="s">
        <v>561</v>
      </c>
      <c r="AH102" s="552">
        <v>0</v>
      </c>
      <c r="AI102" s="552">
        <v>0</v>
      </c>
      <c r="AJ102" s="552">
        <v>1</v>
      </c>
      <c r="AK102" s="552">
        <v>1</v>
      </c>
      <c r="AL102" s="552">
        <v>1</v>
      </c>
      <c r="AM102" s="552">
        <v>0</v>
      </c>
      <c r="AN102" s="552">
        <v>0</v>
      </c>
      <c r="AO102" s="552">
        <v>1</v>
      </c>
      <c r="AP102" s="552">
        <v>1</v>
      </c>
      <c r="AQ102" s="552">
        <v>1</v>
      </c>
      <c r="AR102" s="552">
        <v>1</v>
      </c>
      <c r="AS102" s="552">
        <v>1</v>
      </c>
      <c r="AT102" s="552">
        <v>1</v>
      </c>
      <c r="AU102" s="552">
        <v>1</v>
      </c>
      <c r="AV102" s="553" t="str">
        <f>IF(H102="YES","'"&amp;INDEX('Structure Groups'!$C$12:$C$14,MATCH('Load Criteria'!$B$5,'Structure Groups'!$B$12:$B$14,0),1)&amp;"'","'All'")</f>
        <v>'GL Max 800m'</v>
      </c>
      <c r="AW102" s="552" t="s">
        <v>562</v>
      </c>
      <c r="AX102" s="552"/>
      <c r="AY102" s="552" t="str">
        <f t="shared" si="18"/>
        <v>Yes</v>
      </c>
      <c r="AZ102" s="554" t="str">
        <f t="shared" si="19"/>
        <v>Ahead Spans</v>
      </c>
      <c r="BA102" s="554" t="str">
        <f t="shared" si="24"/>
        <v>% Wire Wind Pressure</v>
      </c>
      <c r="BB102" s="552">
        <f t="shared" si="25"/>
        <v>75</v>
      </c>
      <c r="BC102" s="554"/>
      <c r="BD102" s="552"/>
      <c r="BE102" s="554"/>
      <c r="BF102" s="554"/>
      <c r="BG102" s="554"/>
      <c r="BH102" s="554"/>
      <c r="BI102" s="554"/>
      <c r="BJ102" s="554"/>
      <c r="BK102" s="554"/>
      <c r="BL102" s="554"/>
      <c r="BM102" s="554"/>
      <c r="BN102" s="554"/>
      <c r="BO102" s="554"/>
      <c r="BP102" s="554"/>
      <c r="BQ102" s="554"/>
      <c r="BR102" s="554"/>
      <c r="BS102" s="554"/>
      <c r="BT102" s="554"/>
      <c r="BU102" s="554"/>
      <c r="BV102" s="554"/>
      <c r="BW102" s="554"/>
      <c r="BX102" s="554"/>
      <c r="BY102" s="554"/>
      <c r="BZ102" s="554"/>
      <c r="CA102" s="554"/>
      <c r="CB102" s="554"/>
      <c r="CC102" s="554"/>
      <c r="CD102" s="554"/>
      <c r="CE102" s="554"/>
      <c r="CF102" s="554"/>
      <c r="CG102" s="554"/>
      <c r="CH102" s="554"/>
      <c r="CI102" s="554"/>
      <c r="CJ102" s="554"/>
      <c r="CK102" s="554"/>
      <c r="CL102" s="554"/>
      <c r="CM102" s="554"/>
      <c r="CN102" s="554"/>
      <c r="CO102" s="554"/>
      <c r="CP102" s="554"/>
      <c r="CQ102" s="554"/>
      <c r="CR102" s="554"/>
      <c r="CS102" s="554"/>
      <c r="CT102" s="554"/>
      <c r="CU102" s="554"/>
      <c r="CV102" s="554"/>
      <c r="CW102" s="554"/>
      <c r="CX102" s="554"/>
      <c r="CY102" s="554"/>
      <c r="CZ102" s="554"/>
      <c r="DA102" s="554"/>
      <c r="DB102" s="554"/>
      <c r="DC102" s="554"/>
      <c r="DD102" s="554"/>
      <c r="DE102" s="534"/>
      <c r="DF102" s="534"/>
      <c r="DG102" s="534"/>
    </row>
    <row r="103" spans="1:111" ht="15" x14ac:dyDescent="0.25">
      <c r="A103" s="549">
        <f>IF(Control!$D$5="Y","-",1)</f>
        <v>1</v>
      </c>
      <c r="B103" s="555" t="s">
        <v>558</v>
      </c>
      <c r="C103" s="555" t="s">
        <v>559</v>
      </c>
      <c r="D103" s="555" t="s">
        <v>563</v>
      </c>
      <c r="E103" s="556" t="s">
        <v>22</v>
      </c>
      <c r="F103" s="556" t="s">
        <v>22</v>
      </c>
      <c r="G103" s="556" t="str">
        <f>IFERROR(IF(MID('Load Criteria'!X103,FIND("_",'Load Criteria'!X103,1)+1,1)=LEFT(Control!$D$23,1),"YES","-"),"-")</f>
        <v>YES</v>
      </c>
      <c r="H103" s="549" t="str">
        <f>IF(INDEX('Weather Cases'!$G$10:$G$94,MATCH('Load Criteria'!X103,'Weather Cases'!$H$10:$H$94,0),1)="H","YES","")</f>
        <v>YES</v>
      </c>
      <c r="I103" s="557" t="s">
        <v>299</v>
      </c>
      <c r="J103" s="550">
        <f t="shared" si="31"/>
        <v>300</v>
      </c>
      <c r="K103" s="550" t="s">
        <v>60</v>
      </c>
      <c r="L103" s="550" t="s">
        <v>24</v>
      </c>
      <c r="M103" s="550"/>
      <c r="N103" s="550"/>
      <c r="O103" s="550"/>
      <c r="P103" s="392"/>
      <c r="Q103" s="392"/>
      <c r="R103" s="392"/>
      <c r="S103" s="392"/>
      <c r="T103" s="392"/>
      <c r="U103" s="550" t="str">
        <f t="shared" si="26"/>
        <v>BI-</v>
      </c>
      <c r="V103" s="560">
        <f t="shared" si="26"/>
        <v>-45</v>
      </c>
      <c r="W103" s="542" t="str">
        <f t="shared" si="15"/>
        <v>MW0300_A8+DA BI--45</v>
      </c>
      <c r="X103" s="552" t="str">
        <f>I103&amp;TEXT(J103,"0000")&amp;"_"&amp;LEFT(Control!$D$23,1)&amp;LEFT(Control!$D$22,LEN(Control!$D$22)-2)</f>
        <v>MW0300_A8</v>
      </c>
      <c r="Y103" s="552" t="s">
        <v>433</v>
      </c>
      <c r="Z103" s="552" t="str">
        <f t="shared" si="29"/>
        <v>BI-</v>
      </c>
      <c r="AA103" s="552">
        <f t="shared" si="30"/>
        <v>-45</v>
      </c>
      <c r="AB103" s="552">
        <v>1</v>
      </c>
      <c r="AC103" s="552">
        <v>1</v>
      </c>
      <c r="AD103" s="552">
        <v>1</v>
      </c>
      <c r="AE103" s="552">
        <v>1</v>
      </c>
      <c r="AF103" s="552">
        <v>1</v>
      </c>
      <c r="AG103" s="542" t="s">
        <v>561</v>
      </c>
      <c r="AH103" s="552">
        <v>0</v>
      </c>
      <c r="AI103" s="552">
        <v>0</v>
      </c>
      <c r="AJ103" s="552">
        <v>1</v>
      </c>
      <c r="AK103" s="552">
        <v>1</v>
      </c>
      <c r="AL103" s="552">
        <v>1</v>
      </c>
      <c r="AM103" s="552">
        <v>0</v>
      </c>
      <c r="AN103" s="552">
        <v>0</v>
      </c>
      <c r="AO103" s="552">
        <v>1</v>
      </c>
      <c r="AP103" s="552">
        <v>1</v>
      </c>
      <c r="AQ103" s="552">
        <v>1</v>
      </c>
      <c r="AR103" s="552">
        <v>1</v>
      </c>
      <c r="AS103" s="552">
        <v>1</v>
      </c>
      <c r="AT103" s="552">
        <v>1</v>
      </c>
      <c r="AU103" s="552">
        <v>1</v>
      </c>
      <c r="AV103" s="553" t="str">
        <f>IF(H103="YES","'"&amp;INDEX('Structure Groups'!$C$12:$C$14,MATCH('Load Criteria'!$B$5,'Structure Groups'!$B$12:$B$14,0),1)&amp;"'","'All'")</f>
        <v>'GL Max 800m'</v>
      </c>
      <c r="AW103" s="552" t="s">
        <v>562</v>
      </c>
      <c r="AX103" s="552"/>
      <c r="AY103" s="552" t="str">
        <f t="shared" si="18"/>
        <v>Yes</v>
      </c>
      <c r="AZ103" s="554" t="str">
        <f t="shared" si="19"/>
        <v>Ahead Spans</v>
      </c>
      <c r="BA103" s="554" t="str">
        <f t="shared" si="24"/>
        <v>% Wire Wind Pressure</v>
      </c>
      <c r="BB103" s="552">
        <f t="shared" si="25"/>
        <v>75</v>
      </c>
      <c r="BC103" s="554"/>
      <c r="BD103" s="552"/>
      <c r="BE103" s="554"/>
      <c r="BF103" s="554"/>
      <c r="BG103" s="554"/>
      <c r="BH103" s="554"/>
      <c r="BI103" s="554"/>
      <c r="BJ103" s="554"/>
      <c r="BK103" s="554"/>
      <c r="BL103" s="554"/>
      <c r="BM103" s="554"/>
      <c r="BN103" s="554"/>
      <c r="BO103" s="554"/>
      <c r="BP103" s="554"/>
      <c r="BQ103" s="554"/>
      <c r="BR103" s="554"/>
      <c r="BS103" s="554"/>
      <c r="BT103" s="554"/>
      <c r="BU103" s="554"/>
      <c r="BV103" s="554"/>
      <c r="BW103" s="554"/>
      <c r="BX103" s="554"/>
      <c r="BY103" s="554"/>
      <c r="BZ103" s="554"/>
      <c r="CA103" s="554"/>
      <c r="CB103" s="554"/>
      <c r="CC103" s="554"/>
      <c r="CD103" s="554"/>
      <c r="CE103" s="554"/>
      <c r="CF103" s="554"/>
      <c r="CG103" s="554"/>
      <c r="CH103" s="554"/>
      <c r="CI103" s="554"/>
      <c r="CJ103" s="554"/>
      <c r="CK103" s="554"/>
      <c r="CL103" s="554"/>
      <c r="CM103" s="554"/>
      <c r="CN103" s="554"/>
      <c r="CO103" s="554"/>
      <c r="CP103" s="554"/>
      <c r="CQ103" s="554"/>
      <c r="CR103" s="554"/>
      <c r="CS103" s="554"/>
      <c r="CT103" s="554"/>
      <c r="CU103" s="554"/>
      <c r="CV103" s="554"/>
      <c r="CW103" s="554"/>
      <c r="CX103" s="554"/>
      <c r="CY103" s="554"/>
      <c r="CZ103" s="554"/>
      <c r="DA103" s="554"/>
      <c r="DB103" s="554"/>
      <c r="DC103" s="554"/>
      <c r="DD103" s="554"/>
      <c r="DE103" s="534"/>
      <c r="DF103" s="534"/>
      <c r="DG103" s="534"/>
    </row>
    <row r="104" spans="1:111" ht="15" x14ac:dyDescent="0.25">
      <c r="A104" s="549">
        <f>IF(Control!$D$5="Y","-",1)</f>
        <v>1</v>
      </c>
      <c r="B104" s="555" t="s">
        <v>558</v>
      </c>
      <c r="C104" s="555" t="s">
        <v>559</v>
      </c>
      <c r="D104" s="555" t="s">
        <v>563</v>
      </c>
      <c r="E104" s="556" t="s">
        <v>22</v>
      </c>
      <c r="F104" s="556" t="s">
        <v>22</v>
      </c>
      <c r="G104" s="556" t="str">
        <f>IFERROR(IF(MID('Load Criteria'!X104,FIND("_",'Load Criteria'!X104,1)+1,1)=LEFT(Control!$D$23,1),"YES","-"),"-")</f>
        <v>YES</v>
      </c>
      <c r="H104" s="549" t="str">
        <f>IF(INDEX('Weather Cases'!$G$10:$G$94,MATCH('Load Criteria'!X104,'Weather Cases'!$H$10:$H$94,0),1)="H","YES","")</f>
        <v>YES</v>
      </c>
      <c r="I104" s="557" t="s">
        <v>299</v>
      </c>
      <c r="J104" s="550">
        <f t="shared" si="31"/>
        <v>300</v>
      </c>
      <c r="K104" s="550" t="s">
        <v>60</v>
      </c>
      <c r="L104" s="550" t="s">
        <v>24</v>
      </c>
      <c r="M104" s="550"/>
      <c r="N104" s="550"/>
      <c r="O104" s="550"/>
      <c r="P104" s="392"/>
      <c r="Q104" s="392"/>
      <c r="R104" s="392"/>
      <c r="S104" s="392"/>
      <c r="T104" s="392"/>
      <c r="U104" s="550" t="str">
        <f t="shared" si="26"/>
        <v>BI-</v>
      </c>
      <c r="V104" s="560">
        <f t="shared" si="26"/>
        <v>-90</v>
      </c>
      <c r="W104" s="542" t="str">
        <f t="shared" si="15"/>
        <v>MW0300_A8+DA BI--90</v>
      </c>
      <c r="X104" s="552" t="str">
        <f>I104&amp;TEXT(J104,"0000")&amp;"_"&amp;LEFT(Control!$D$23,1)&amp;LEFT(Control!$D$22,LEN(Control!$D$22)-2)</f>
        <v>MW0300_A8</v>
      </c>
      <c r="Y104" s="552" t="s">
        <v>433</v>
      </c>
      <c r="Z104" s="552" t="str">
        <f t="shared" si="29"/>
        <v>BI-</v>
      </c>
      <c r="AA104" s="552">
        <f t="shared" si="30"/>
        <v>-90</v>
      </c>
      <c r="AB104" s="552">
        <v>1</v>
      </c>
      <c r="AC104" s="552">
        <v>1</v>
      </c>
      <c r="AD104" s="552">
        <v>1</v>
      </c>
      <c r="AE104" s="552">
        <v>1</v>
      </c>
      <c r="AF104" s="552">
        <v>1</v>
      </c>
      <c r="AG104" s="542" t="s">
        <v>561</v>
      </c>
      <c r="AH104" s="552">
        <v>0</v>
      </c>
      <c r="AI104" s="552">
        <v>0</v>
      </c>
      <c r="AJ104" s="552">
        <v>1</v>
      </c>
      <c r="AK104" s="552">
        <v>1</v>
      </c>
      <c r="AL104" s="552">
        <v>1</v>
      </c>
      <c r="AM104" s="552">
        <v>0</v>
      </c>
      <c r="AN104" s="552">
        <v>0</v>
      </c>
      <c r="AO104" s="552">
        <v>1</v>
      </c>
      <c r="AP104" s="552">
        <v>1</v>
      </c>
      <c r="AQ104" s="552">
        <v>1</v>
      </c>
      <c r="AR104" s="552">
        <v>1</v>
      </c>
      <c r="AS104" s="552">
        <v>1</v>
      </c>
      <c r="AT104" s="552">
        <v>1</v>
      </c>
      <c r="AU104" s="552">
        <v>1</v>
      </c>
      <c r="AV104" s="553" t="str">
        <f>IF(H104="YES","'"&amp;INDEX('Structure Groups'!$C$12:$C$14,MATCH('Load Criteria'!$B$5,'Structure Groups'!$B$12:$B$14,0),1)&amp;"'","'All'")</f>
        <v>'GL Max 800m'</v>
      </c>
      <c r="AW104" s="552" t="s">
        <v>562</v>
      </c>
      <c r="AX104" s="552"/>
      <c r="AY104" s="552" t="str">
        <f t="shared" si="18"/>
        <v>Yes</v>
      </c>
      <c r="AZ104" s="554" t="str">
        <f t="shared" si="19"/>
        <v>Ahead Spans</v>
      </c>
      <c r="BA104" s="554" t="str">
        <f t="shared" si="24"/>
        <v>% Wire Wind Pressure</v>
      </c>
      <c r="BB104" s="552">
        <f t="shared" si="25"/>
        <v>75</v>
      </c>
      <c r="BC104" s="554"/>
      <c r="BD104" s="552"/>
      <c r="BE104" s="554"/>
      <c r="BF104" s="554"/>
      <c r="BG104" s="554"/>
      <c r="BH104" s="554"/>
      <c r="BI104" s="554"/>
      <c r="BJ104" s="554"/>
      <c r="BK104" s="554"/>
      <c r="BL104" s="554"/>
      <c r="BM104" s="554"/>
      <c r="BN104" s="554"/>
      <c r="BO104" s="554"/>
      <c r="BP104" s="554"/>
      <c r="BQ104" s="554"/>
      <c r="BR104" s="554"/>
      <c r="BS104" s="554"/>
      <c r="BT104" s="554"/>
      <c r="BU104" s="554"/>
      <c r="BV104" s="554"/>
      <c r="BW104" s="554"/>
      <c r="BX104" s="554"/>
      <c r="BY104" s="554"/>
      <c r="BZ104" s="554"/>
      <c r="CA104" s="554"/>
      <c r="CB104" s="554"/>
      <c r="CC104" s="554"/>
      <c r="CD104" s="554"/>
      <c r="CE104" s="554"/>
      <c r="CF104" s="554"/>
      <c r="CG104" s="554"/>
      <c r="CH104" s="554"/>
      <c r="CI104" s="554"/>
      <c r="CJ104" s="554"/>
      <c r="CK104" s="554"/>
      <c r="CL104" s="554"/>
      <c r="CM104" s="554"/>
      <c r="CN104" s="554"/>
      <c r="CO104" s="554"/>
      <c r="CP104" s="554"/>
      <c r="CQ104" s="554"/>
      <c r="CR104" s="554"/>
      <c r="CS104" s="554"/>
      <c r="CT104" s="554"/>
      <c r="CU104" s="554"/>
      <c r="CV104" s="554"/>
      <c r="CW104" s="554"/>
      <c r="CX104" s="554"/>
      <c r="CY104" s="554"/>
      <c r="CZ104" s="554"/>
      <c r="DA104" s="554"/>
      <c r="DB104" s="554"/>
      <c r="DC104" s="554"/>
      <c r="DD104" s="554"/>
      <c r="DE104" s="534"/>
      <c r="DF104" s="534"/>
      <c r="DG104" s="534"/>
    </row>
    <row r="105" spans="1:111" ht="15" x14ac:dyDescent="0.25">
      <c r="A105" s="549">
        <f>IF(Control!$D$5="Y","-",1)</f>
        <v>1</v>
      </c>
      <c r="B105" s="555" t="s">
        <v>558</v>
      </c>
      <c r="C105" s="555" t="s">
        <v>559</v>
      </c>
      <c r="D105" s="555" t="s">
        <v>563</v>
      </c>
      <c r="E105" s="556" t="s">
        <v>22</v>
      </c>
      <c r="F105" s="556" t="s">
        <v>22</v>
      </c>
      <c r="G105" s="556" t="str">
        <f>IFERROR(IF(MID('Load Criteria'!X105,FIND("_",'Load Criteria'!X105,1)+1,1)=LEFT(Control!$D$23,1),"YES","-"),"-")</f>
        <v>YES</v>
      </c>
      <c r="H105" s="549" t="str">
        <f>IF(INDEX('Weather Cases'!$G$10:$G$94,MATCH('Load Criteria'!X105,'Weather Cases'!$H$10:$H$94,0),1)="H","YES","")</f>
        <v>YES</v>
      </c>
      <c r="I105" s="557" t="s">
        <v>299</v>
      </c>
      <c r="J105" s="550">
        <f t="shared" si="31"/>
        <v>300</v>
      </c>
      <c r="K105" s="550" t="s">
        <v>60</v>
      </c>
      <c r="L105" s="550" t="s">
        <v>40</v>
      </c>
      <c r="M105" s="550"/>
      <c r="N105" s="550"/>
      <c r="O105" s="550"/>
      <c r="P105" s="392"/>
      <c r="Q105" s="392"/>
      <c r="R105" s="392"/>
      <c r="S105" s="392"/>
      <c r="T105" s="392"/>
      <c r="U105" s="550" t="str">
        <f t="shared" si="26"/>
        <v>BI+</v>
      </c>
      <c r="V105" s="560">
        <f t="shared" si="26"/>
        <v>90</v>
      </c>
      <c r="W105" s="542" t="str">
        <f t="shared" si="15"/>
        <v>MW0300_A8+DB BI++90</v>
      </c>
      <c r="X105" s="552" t="str">
        <f>I105&amp;TEXT(J105,"0000")&amp;"_"&amp;LEFT(Control!$D$23,1)&amp;LEFT(Control!$D$22,LEN(Control!$D$22)-2)</f>
        <v>MW0300_A8</v>
      </c>
      <c r="Y105" s="552" t="s">
        <v>433</v>
      </c>
      <c r="Z105" s="552" t="str">
        <f t="shared" si="29"/>
        <v>BI+</v>
      </c>
      <c r="AA105" s="552">
        <f t="shared" si="30"/>
        <v>90</v>
      </c>
      <c r="AB105" s="552">
        <v>1</v>
      </c>
      <c r="AC105" s="552">
        <v>1</v>
      </c>
      <c r="AD105" s="552">
        <v>1</v>
      </c>
      <c r="AE105" s="552">
        <v>1</v>
      </c>
      <c r="AF105" s="552">
        <v>1</v>
      </c>
      <c r="AG105" s="542" t="s">
        <v>561</v>
      </c>
      <c r="AH105" s="552">
        <v>0</v>
      </c>
      <c r="AI105" s="552">
        <v>0</v>
      </c>
      <c r="AJ105" s="552">
        <v>1</v>
      </c>
      <c r="AK105" s="552">
        <v>1</v>
      </c>
      <c r="AL105" s="552">
        <v>1</v>
      </c>
      <c r="AM105" s="552">
        <v>0</v>
      </c>
      <c r="AN105" s="552">
        <v>0</v>
      </c>
      <c r="AO105" s="552">
        <v>1</v>
      </c>
      <c r="AP105" s="552">
        <v>1</v>
      </c>
      <c r="AQ105" s="552">
        <v>1</v>
      </c>
      <c r="AR105" s="552">
        <v>1</v>
      </c>
      <c r="AS105" s="552">
        <v>1</v>
      </c>
      <c r="AT105" s="552">
        <v>1</v>
      </c>
      <c r="AU105" s="552">
        <v>1</v>
      </c>
      <c r="AV105" s="553" t="str">
        <f>IF(H105="YES","'"&amp;INDEX('Structure Groups'!$C$12:$C$14,MATCH('Load Criteria'!$B$5,'Structure Groups'!$B$12:$B$14,0),1)&amp;"'","'All'")</f>
        <v>'GL Max 800m'</v>
      </c>
      <c r="AW105" s="552" t="s">
        <v>562</v>
      </c>
      <c r="AX105" s="552"/>
      <c r="AY105" s="552" t="str">
        <f t="shared" ref="AY105:AY149" si="32">IF(L105="","No","Yes")</f>
        <v>Yes</v>
      </c>
      <c r="AZ105" s="554" t="str">
        <f t="shared" ref="AZ105:AZ145" si="33">IF(AY105="No","",IF(L105="A","Ahead Spans","Back Spans"))</f>
        <v>Back Spans</v>
      </c>
      <c r="BA105" s="554" t="str">
        <f t="shared" si="24"/>
        <v>% Wire Wind Pressure</v>
      </c>
      <c r="BB105" s="552">
        <f t="shared" si="25"/>
        <v>75</v>
      </c>
      <c r="BC105" s="554"/>
      <c r="BD105" s="552"/>
      <c r="BE105" s="554"/>
      <c r="BF105" s="554"/>
      <c r="BG105" s="554"/>
      <c r="BH105" s="554"/>
      <c r="BI105" s="554"/>
      <c r="BJ105" s="554"/>
      <c r="BK105" s="554"/>
      <c r="BL105" s="554"/>
      <c r="BM105" s="554"/>
      <c r="BN105" s="554"/>
      <c r="BO105" s="554"/>
      <c r="BP105" s="554"/>
      <c r="BQ105" s="554"/>
      <c r="BR105" s="554"/>
      <c r="BS105" s="554"/>
      <c r="BT105" s="554"/>
      <c r="BU105" s="554"/>
      <c r="BV105" s="554"/>
      <c r="BW105" s="554"/>
      <c r="BX105" s="554"/>
      <c r="BY105" s="554"/>
      <c r="BZ105" s="554"/>
      <c r="CA105" s="554"/>
      <c r="CB105" s="554"/>
      <c r="CC105" s="554"/>
      <c r="CD105" s="554"/>
      <c r="CE105" s="554"/>
      <c r="CF105" s="554"/>
      <c r="CG105" s="554"/>
      <c r="CH105" s="554"/>
      <c r="CI105" s="554"/>
      <c r="CJ105" s="554"/>
      <c r="CK105" s="554"/>
      <c r="CL105" s="554"/>
      <c r="CM105" s="554"/>
      <c r="CN105" s="554"/>
      <c r="CO105" s="554"/>
      <c r="CP105" s="554"/>
      <c r="CQ105" s="554"/>
      <c r="CR105" s="554"/>
      <c r="CS105" s="554"/>
      <c r="CT105" s="554"/>
      <c r="CU105" s="554"/>
      <c r="CV105" s="554"/>
      <c r="CW105" s="554"/>
      <c r="CX105" s="554"/>
      <c r="CY105" s="554"/>
      <c r="CZ105" s="554"/>
      <c r="DA105" s="554"/>
      <c r="DB105" s="554"/>
      <c r="DC105" s="554"/>
      <c r="DD105" s="554"/>
      <c r="DE105" s="534"/>
      <c r="DF105" s="534"/>
      <c r="DG105" s="534"/>
    </row>
    <row r="106" spans="1:111" ht="15" x14ac:dyDescent="0.25">
      <c r="A106" s="549">
        <f>IF(Control!$D$5="Y","-",1)</f>
        <v>1</v>
      </c>
      <c r="B106" s="555" t="s">
        <v>558</v>
      </c>
      <c r="C106" s="555" t="s">
        <v>559</v>
      </c>
      <c r="D106" s="555" t="s">
        <v>563</v>
      </c>
      <c r="E106" s="556" t="s">
        <v>22</v>
      </c>
      <c r="F106" s="556" t="s">
        <v>22</v>
      </c>
      <c r="G106" s="556" t="str">
        <f>IFERROR(IF(MID('Load Criteria'!X106,FIND("_",'Load Criteria'!X106,1)+1,1)=LEFT(Control!$D$23,1),"YES","-"),"-")</f>
        <v>YES</v>
      </c>
      <c r="H106" s="549" t="str">
        <f>IF(INDEX('Weather Cases'!$G$10:$G$94,MATCH('Load Criteria'!X106,'Weather Cases'!$H$10:$H$94,0),1)="H","YES","")</f>
        <v>YES</v>
      </c>
      <c r="I106" s="557" t="s">
        <v>299</v>
      </c>
      <c r="J106" s="550">
        <f t="shared" si="31"/>
        <v>300</v>
      </c>
      <c r="K106" s="550" t="s">
        <v>60</v>
      </c>
      <c r="L106" s="550" t="s">
        <v>40</v>
      </c>
      <c r="M106" s="550"/>
      <c r="N106" s="550"/>
      <c r="O106" s="550"/>
      <c r="P106" s="392"/>
      <c r="Q106" s="392"/>
      <c r="R106" s="392"/>
      <c r="S106" s="392"/>
      <c r="T106" s="392"/>
      <c r="U106" s="550" t="str">
        <f t="shared" si="26"/>
        <v>BI+</v>
      </c>
      <c r="V106" s="560">
        <f t="shared" si="26"/>
        <v>45</v>
      </c>
      <c r="W106" s="542" t="str">
        <f t="shared" si="15"/>
        <v>MW0300_A8+DB BI++45</v>
      </c>
      <c r="X106" s="552" t="str">
        <f>I106&amp;TEXT(J106,"0000")&amp;"_"&amp;LEFT(Control!$D$23,1)&amp;LEFT(Control!$D$22,LEN(Control!$D$22)-2)</f>
        <v>MW0300_A8</v>
      </c>
      <c r="Y106" s="552" t="s">
        <v>433</v>
      </c>
      <c r="Z106" s="552" t="str">
        <f t="shared" ref="Z106:Z123" si="34">U106</f>
        <v>BI+</v>
      </c>
      <c r="AA106" s="552">
        <f t="shared" ref="AA106:AA123" si="35">V106</f>
        <v>45</v>
      </c>
      <c r="AB106" s="552">
        <v>1</v>
      </c>
      <c r="AC106" s="552">
        <v>1</v>
      </c>
      <c r="AD106" s="552">
        <v>1</v>
      </c>
      <c r="AE106" s="552">
        <v>1</v>
      </c>
      <c r="AF106" s="552">
        <v>1</v>
      </c>
      <c r="AG106" s="542" t="s">
        <v>561</v>
      </c>
      <c r="AH106" s="552">
        <v>0</v>
      </c>
      <c r="AI106" s="552">
        <v>0</v>
      </c>
      <c r="AJ106" s="552">
        <v>1</v>
      </c>
      <c r="AK106" s="552">
        <v>1</v>
      </c>
      <c r="AL106" s="552">
        <v>1</v>
      </c>
      <c r="AM106" s="552">
        <v>0</v>
      </c>
      <c r="AN106" s="552">
        <v>0</v>
      </c>
      <c r="AO106" s="552">
        <v>1</v>
      </c>
      <c r="AP106" s="552">
        <v>1</v>
      </c>
      <c r="AQ106" s="552">
        <v>1</v>
      </c>
      <c r="AR106" s="552">
        <v>1</v>
      </c>
      <c r="AS106" s="552">
        <v>1</v>
      </c>
      <c r="AT106" s="552">
        <v>1</v>
      </c>
      <c r="AU106" s="552">
        <v>1</v>
      </c>
      <c r="AV106" s="553" t="str">
        <f>IF(H106="YES","'"&amp;INDEX('Structure Groups'!$C$12:$C$14,MATCH('Load Criteria'!$B$5,'Structure Groups'!$B$12:$B$14,0),1)&amp;"'","'All'")</f>
        <v>'GL Max 800m'</v>
      </c>
      <c r="AW106" s="552" t="s">
        <v>562</v>
      </c>
      <c r="AX106" s="552"/>
      <c r="AY106" s="552" t="str">
        <f t="shared" si="32"/>
        <v>Yes</v>
      </c>
      <c r="AZ106" s="554" t="str">
        <f t="shared" si="33"/>
        <v>Back Spans</v>
      </c>
      <c r="BA106" s="554" t="str">
        <f t="shared" si="24"/>
        <v>% Wire Wind Pressure</v>
      </c>
      <c r="BB106" s="552">
        <f t="shared" si="25"/>
        <v>75</v>
      </c>
      <c r="BC106" s="554"/>
      <c r="BD106" s="552"/>
      <c r="BE106" s="554"/>
      <c r="BF106" s="554"/>
      <c r="BG106" s="554"/>
      <c r="BH106" s="554"/>
      <c r="BI106" s="554"/>
      <c r="BJ106" s="554"/>
      <c r="BK106" s="554"/>
      <c r="BL106" s="554"/>
      <c r="BM106" s="554"/>
      <c r="BN106" s="554"/>
      <c r="BO106" s="554"/>
      <c r="BP106" s="554"/>
      <c r="BQ106" s="554"/>
      <c r="BR106" s="554"/>
      <c r="BS106" s="554"/>
      <c r="BT106" s="554"/>
      <c r="BU106" s="554"/>
      <c r="BV106" s="554"/>
      <c r="BW106" s="554"/>
      <c r="BX106" s="554"/>
      <c r="BY106" s="554"/>
      <c r="BZ106" s="554"/>
      <c r="CA106" s="554"/>
      <c r="CB106" s="554"/>
      <c r="CC106" s="554"/>
      <c r="CD106" s="554"/>
      <c r="CE106" s="554"/>
      <c r="CF106" s="554"/>
      <c r="CG106" s="554"/>
      <c r="CH106" s="554"/>
      <c r="CI106" s="554"/>
      <c r="CJ106" s="554"/>
      <c r="CK106" s="554"/>
      <c r="CL106" s="554"/>
      <c r="CM106" s="554"/>
      <c r="CN106" s="554"/>
      <c r="CO106" s="554"/>
      <c r="CP106" s="554"/>
      <c r="CQ106" s="554"/>
      <c r="CR106" s="554"/>
      <c r="CS106" s="554"/>
      <c r="CT106" s="554"/>
      <c r="CU106" s="554"/>
      <c r="CV106" s="554"/>
      <c r="CW106" s="554"/>
      <c r="CX106" s="554"/>
      <c r="CY106" s="554"/>
      <c r="CZ106" s="554"/>
      <c r="DA106" s="554"/>
      <c r="DB106" s="554"/>
      <c r="DC106" s="554"/>
      <c r="DD106" s="554"/>
      <c r="DE106" s="534"/>
      <c r="DF106" s="534"/>
      <c r="DG106" s="534"/>
    </row>
    <row r="107" spans="1:111" ht="15" x14ac:dyDescent="0.25">
      <c r="A107" s="549">
        <f>IF(Control!$D$5="Y","-",1)</f>
        <v>1</v>
      </c>
      <c r="B107" s="555" t="s">
        <v>558</v>
      </c>
      <c r="C107" s="555" t="s">
        <v>559</v>
      </c>
      <c r="D107" s="555" t="s">
        <v>563</v>
      </c>
      <c r="E107" s="556" t="s">
        <v>22</v>
      </c>
      <c r="F107" s="556" t="s">
        <v>22</v>
      </c>
      <c r="G107" s="556" t="str">
        <f>IFERROR(IF(MID('Load Criteria'!X107,FIND("_",'Load Criteria'!X107,1)+1,1)=LEFT(Control!$D$23,1),"YES","-"),"-")</f>
        <v>YES</v>
      </c>
      <c r="H107" s="549" t="str">
        <f>IF(INDEX('Weather Cases'!$G$10:$G$94,MATCH('Load Criteria'!X107,'Weather Cases'!$H$10:$H$94,0),1)="H","YES","")</f>
        <v>YES</v>
      </c>
      <c r="I107" s="557" t="s">
        <v>299</v>
      </c>
      <c r="J107" s="550">
        <f t="shared" si="31"/>
        <v>300</v>
      </c>
      <c r="K107" s="550" t="s">
        <v>60</v>
      </c>
      <c r="L107" s="550" t="s">
        <v>40</v>
      </c>
      <c r="M107" s="550"/>
      <c r="N107" s="550"/>
      <c r="O107" s="550"/>
      <c r="P107" s="392"/>
      <c r="Q107" s="392"/>
      <c r="R107" s="392"/>
      <c r="S107" s="392"/>
      <c r="T107" s="392"/>
      <c r="U107" s="550" t="str">
        <f t="shared" ref="U107:V122" si="36">U89</f>
        <v>BI+</v>
      </c>
      <c r="V107" s="560">
        <f t="shared" si="36"/>
        <v>30</v>
      </c>
      <c r="W107" s="542" t="str">
        <f t="shared" si="15"/>
        <v>MW0300_A8+DB BI++30</v>
      </c>
      <c r="X107" s="552" t="str">
        <f>I107&amp;TEXT(J107,"0000")&amp;"_"&amp;LEFT(Control!$D$23,1)&amp;LEFT(Control!$D$22,LEN(Control!$D$22)-2)</f>
        <v>MW0300_A8</v>
      </c>
      <c r="Y107" s="552" t="s">
        <v>433</v>
      </c>
      <c r="Z107" s="552" t="str">
        <f t="shared" si="34"/>
        <v>BI+</v>
      </c>
      <c r="AA107" s="552">
        <f t="shared" si="35"/>
        <v>30</v>
      </c>
      <c r="AB107" s="552">
        <v>1</v>
      </c>
      <c r="AC107" s="552">
        <v>1</v>
      </c>
      <c r="AD107" s="552">
        <v>1</v>
      </c>
      <c r="AE107" s="552">
        <v>1</v>
      </c>
      <c r="AF107" s="552">
        <v>1</v>
      </c>
      <c r="AG107" s="542" t="s">
        <v>561</v>
      </c>
      <c r="AH107" s="552">
        <v>0</v>
      </c>
      <c r="AI107" s="552">
        <v>0</v>
      </c>
      <c r="AJ107" s="552">
        <v>1</v>
      </c>
      <c r="AK107" s="552">
        <v>1</v>
      </c>
      <c r="AL107" s="552">
        <v>1</v>
      </c>
      <c r="AM107" s="552">
        <v>0</v>
      </c>
      <c r="AN107" s="552">
        <v>0</v>
      </c>
      <c r="AO107" s="552">
        <v>1</v>
      </c>
      <c r="AP107" s="552">
        <v>1</v>
      </c>
      <c r="AQ107" s="552">
        <v>1</v>
      </c>
      <c r="AR107" s="552">
        <v>1</v>
      </c>
      <c r="AS107" s="552">
        <v>1</v>
      </c>
      <c r="AT107" s="552">
        <v>1</v>
      </c>
      <c r="AU107" s="552">
        <v>1</v>
      </c>
      <c r="AV107" s="553" t="str">
        <f>IF(H107="YES","'"&amp;INDEX('Structure Groups'!$C$12:$C$14,MATCH('Load Criteria'!$B$5,'Structure Groups'!$B$12:$B$14,0),1)&amp;"'","'All'")</f>
        <v>'GL Max 800m'</v>
      </c>
      <c r="AW107" s="552" t="s">
        <v>562</v>
      </c>
      <c r="AX107" s="552"/>
      <c r="AY107" s="552" t="str">
        <f t="shared" si="32"/>
        <v>Yes</v>
      </c>
      <c r="AZ107" s="554" t="str">
        <f t="shared" si="33"/>
        <v>Back Spans</v>
      </c>
      <c r="BA107" s="554" t="str">
        <f t="shared" si="24"/>
        <v>% Wire Wind Pressure</v>
      </c>
      <c r="BB107" s="552">
        <f t="shared" si="25"/>
        <v>75</v>
      </c>
      <c r="BC107" s="554"/>
      <c r="BD107" s="552"/>
      <c r="BE107" s="554"/>
      <c r="BF107" s="554"/>
      <c r="BG107" s="554"/>
      <c r="BH107" s="554"/>
      <c r="BI107" s="554"/>
      <c r="BJ107" s="554"/>
      <c r="BK107" s="554"/>
      <c r="BL107" s="554"/>
      <c r="BM107" s="554"/>
      <c r="BN107" s="554"/>
      <c r="BO107" s="554"/>
      <c r="BP107" s="554"/>
      <c r="BQ107" s="554"/>
      <c r="BR107" s="554"/>
      <c r="BS107" s="554"/>
      <c r="BT107" s="554"/>
      <c r="BU107" s="554"/>
      <c r="BV107" s="554"/>
      <c r="BW107" s="554"/>
      <c r="BX107" s="554"/>
      <c r="BY107" s="554"/>
      <c r="BZ107" s="554"/>
      <c r="CA107" s="554"/>
      <c r="CB107" s="554"/>
      <c r="CC107" s="554"/>
      <c r="CD107" s="554"/>
      <c r="CE107" s="554"/>
      <c r="CF107" s="554"/>
      <c r="CG107" s="554"/>
      <c r="CH107" s="554"/>
      <c r="CI107" s="554"/>
      <c r="CJ107" s="554"/>
      <c r="CK107" s="554"/>
      <c r="CL107" s="554"/>
      <c r="CM107" s="554"/>
      <c r="CN107" s="554"/>
      <c r="CO107" s="554"/>
      <c r="CP107" s="554"/>
      <c r="CQ107" s="554"/>
      <c r="CR107" s="554"/>
      <c r="CS107" s="554"/>
      <c r="CT107" s="554"/>
      <c r="CU107" s="554"/>
      <c r="CV107" s="554"/>
      <c r="CW107" s="554"/>
      <c r="CX107" s="554"/>
      <c r="CY107" s="554"/>
      <c r="CZ107" s="554"/>
      <c r="DA107" s="554"/>
      <c r="DB107" s="554"/>
      <c r="DC107" s="554"/>
      <c r="DD107" s="554"/>
      <c r="DE107" s="534"/>
      <c r="DF107" s="534"/>
      <c r="DG107" s="534"/>
    </row>
    <row r="108" spans="1:111" ht="15" x14ac:dyDescent="0.25">
      <c r="A108" s="549">
        <f>IF(Control!$D$5="Y","-",1)</f>
        <v>1</v>
      </c>
      <c r="B108" s="555" t="s">
        <v>558</v>
      </c>
      <c r="C108" s="555" t="s">
        <v>559</v>
      </c>
      <c r="D108" s="555" t="s">
        <v>563</v>
      </c>
      <c r="E108" s="556" t="s">
        <v>22</v>
      </c>
      <c r="F108" s="556" t="s">
        <v>22</v>
      </c>
      <c r="G108" s="556" t="str">
        <f>IFERROR(IF(MID('Load Criteria'!X108,FIND("_",'Load Criteria'!X108,1)+1,1)=LEFT(Control!$D$23,1),"YES","-"),"-")</f>
        <v>YES</v>
      </c>
      <c r="H108" s="549" t="str">
        <f>IF(INDEX('Weather Cases'!$G$10:$G$94,MATCH('Load Criteria'!X108,'Weather Cases'!$H$10:$H$94,0),1)="H","YES","")</f>
        <v>YES</v>
      </c>
      <c r="I108" s="557" t="s">
        <v>299</v>
      </c>
      <c r="J108" s="550">
        <f t="shared" si="31"/>
        <v>300</v>
      </c>
      <c r="K108" s="550" t="s">
        <v>60</v>
      </c>
      <c r="L108" s="550" t="s">
        <v>40</v>
      </c>
      <c r="M108" s="550"/>
      <c r="N108" s="550"/>
      <c r="O108" s="550"/>
      <c r="P108" s="392"/>
      <c r="Q108" s="392"/>
      <c r="R108" s="392"/>
      <c r="S108" s="392"/>
      <c r="T108" s="392"/>
      <c r="U108" s="550" t="str">
        <f t="shared" si="36"/>
        <v>BI+</v>
      </c>
      <c r="V108" s="560">
        <f t="shared" si="36"/>
        <v>15</v>
      </c>
      <c r="W108" s="542" t="str">
        <f t="shared" si="15"/>
        <v>MW0300_A8+DB BI++15</v>
      </c>
      <c r="X108" s="552" t="str">
        <f>I108&amp;TEXT(J108,"0000")&amp;"_"&amp;LEFT(Control!$D$23,1)&amp;LEFT(Control!$D$22,LEN(Control!$D$22)-2)</f>
        <v>MW0300_A8</v>
      </c>
      <c r="Y108" s="552" t="s">
        <v>433</v>
      </c>
      <c r="Z108" s="552" t="str">
        <f t="shared" si="34"/>
        <v>BI+</v>
      </c>
      <c r="AA108" s="552">
        <f t="shared" si="35"/>
        <v>15</v>
      </c>
      <c r="AB108" s="552">
        <v>1</v>
      </c>
      <c r="AC108" s="552">
        <v>1</v>
      </c>
      <c r="AD108" s="552">
        <v>1</v>
      </c>
      <c r="AE108" s="552">
        <v>1</v>
      </c>
      <c r="AF108" s="552">
        <v>1</v>
      </c>
      <c r="AG108" s="542" t="s">
        <v>561</v>
      </c>
      <c r="AH108" s="552">
        <v>0</v>
      </c>
      <c r="AI108" s="552">
        <v>0</v>
      </c>
      <c r="AJ108" s="552">
        <v>1</v>
      </c>
      <c r="AK108" s="552">
        <v>1</v>
      </c>
      <c r="AL108" s="552">
        <v>1</v>
      </c>
      <c r="AM108" s="552">
        <v>0</v>
      </c>
      <c r="AN108" s="552">
        <v>0</v>
      </c>
      <c r="AO108" s="552">
        <v>1</v>
      </c>
      <c r="AP108" s="552">
        <v>1</v>
      </c>
      <c r="AQ108" s="552">
        <v>1</v>
      </c>
      <c r="AR108" s="552">
        <v>1</v>
      </c>
      <c r="AS108" s="552">
        <v>1</v>
      </c>
      <c r="AT108" s="552">
        <v>1</v>
      </c>
      <c r="AU108" s="552">
        <v>1</v>
      </c>
      <c r="AV108" s="553" t="str">
        <f>IF(H108="YES","'"&amp;INDEX('Structure Groups'!$C$12:$C$14,MATCH('Load Criteria'!$B$5,'Structure Groups'!$B$12:$B$14,0),1)&amp;"'","'All'")</f>
        <v>'GL Max 800m'</v>
      </c>
      <c r="AW108" s="552" t="s">
        <v>562</v>
      </c>
      <c r="AX108" s="552"/>
      <c r="AY108" s="552" t="str">
        <f t="shared" si="32"/>
        <v>Yes</v>
      </c>
      <c r="AZ108" s="554" t="str">
        <f t="shared" si="33"/>
        <v>Back Spans</v>
      </c>
      <c r="BA108" s="554" t="str">
        <f t="shared" si="24"/>
        <v>% Wire Wind Pressure</v>
      </c>
      <c r="BB108" s="552">
        <f t="shared" si="25"/>
        <v>75</v>
      </c>
      <c r="BC108" s="554"/>
      <c r="BD108" s="552"/>
      <c r="BE108" s="554"/>
      <c r="BF108" s="554"/>
      <c r="BG108" s="554"/>
      <c r="BH108" s="554"/>
      <c r="BI108" s="554"/>
      <c r="BJ108" s="554"/>
      <c r="BK108" s="554"/>
      <c r="BL108" s="554"/>
      <c r="BM108" s="554"/>
      <c r="BN108" s="554"/>
      <c r="BO108" s="554"/>
      <c r="BP108" s="554"/>
      <c r="BQ108" s="554"/>
      <c r="BR108" s="554"/>
      <c r="BS108" s="554"/>
      <c r="BT108" s="554"/>
      <c r="BU108" s="554"/>
      <c r="BV108" s="554"/>
      <c r="BW108" s="554"/>
      <c r="BX108" s="554"/>
      <c r="BY108" s="554"/>
      <c r="BZ108" s="554"/>
      <c r="CA108" s="554"/>
      <c r="CB108" s="554"/>
      <c r="CC108" s="554"/>
      <c r="CD108" s="554"/>
      <c r="CE108" s="554"/>
      <c r="CF108" s="554"/>
      <c r="CG108" s="554"/>
      <c r="CH108" s="554"/>
      <c r="CI108" s="554"/>
      <c r="CJ108" s="554"/>
      <c r="CK108" s="554"/>
      <c r="CL108" s="554"/>
      <c r="CM108" s="554"/>
      <c r="CN108" s="554"/>
      <c r="CO108" s="554"/>
      <c r="CP108" s="554"/>
      <c r="CQ108" s="554"/>
      <c r="CR108" s="554"/>
      <c r="CS108" s="554"/>
      <c r="CT108" s="554"/>
      <c r="CU108" s="554"/>
      <c r="CV108" s="554"/>
      <c r="CW108" s="554"/>
      <c r="CX108" s="554"/>
      <c r="CY108" s="554"/>
      <c r="CZ108" s="554"/>
      <c r="DA108" s="554"/>
      <c r="DB108" s="554"/>
      <c r="DC108" s="554"/>
      <c r="DD108" s="554"/>
      <c r="DE108" s="534"/>
      <c r="DF108" s="534"/>
      <c r="DG108" s="534"/>
    </row>
    <row r="109" spans="1:111" ht="15" x14ac:dyDescent="0.25">
      <c r="A109" s="549">
        <f>IF(Control!$D$5="Y","-",1)</f>
        <v>1</v>
      </c>
      <c r="B109" s="555" t="s">
        <v>558</v>
      </c>
      <c r="C109" s="555" t="s">
        <v>559</v>
      </c>
      <c r="D109" s="555" t="s">
        <v>563</v>
      </c>
      <c r="E109" s="556" t="s">
        <v>22</v>
      </c>
      <c r="F109" s="556" t="s">
        <v>22</v>
      </c>
      <c r="G109" s="556" t="str">
        <f>IFERROR(IF(MID('Load Criteria'!X109,FIND("_",'Load Criteria'!X109,1)+1,1)=LEFT(Control!$D$23,1),"YES","-"),"-")</f>
        <v>YES</v>
      </c>
      <c r="H109" s="549" t="str">
        <f>IF(INDEX('Weather Cases'!$G$10:$G$94,MATCH('Load Criteria'!X109,'Weather Cases'!$H$10:$H$94,0),1)="H","YES","")</f>
        <v>YES</v>
      </c>
      <c r="I109" s="557" t="s">
        <v>299</v>
      </c>
      <c r="J109" s="550">
        <f t="shared" si="31"/>
        <v>300</v>
      </c>
      <c r="K109" s="550" t="s">
        <v>60</v>
      </c>
      <c r="L109" s="550" t="s">
        <v>40</v>
      </c>
      <c r="M109" s="550"/>
      <c r="N109" s="550"/>
      <c r="O109" s="550"/>
      <c r="P109" s="392"/>
      <c r="Q109" s="392"/>
      <c r="R109" s="392"/>
      <c r="S109" s="392"/>
      <c r="T109" s="392"/>
      <c r="U109" s="550" t="str">
        <f t="shared" si="36"/>
        <v>BI+</v>
      </c>
      <c r="V109" s="560">
        <f t="shared" si="36"/>
        <v>0</v>
      </c>
      <c r="W109" s="542" t="str">
        <f t="shared" si="15"/>
        <v>MW0300_A8+DB BI++00</v>
      </c>
      <c r="X109" s="552" t="str">
        <f>I109&amp;TEXT(J109,"0000")&amp;"_"&amp;LEFT(Control!$D$23,1)&amp;LEFT(Control!$D$22,LEN(Control!$D$22)-2)</f>
        <v>MW0300_A8</v>
      </c>
      <c r="Y109" s="552" t="s">
        <v>433</v>
      </c>
      <c r="Z109" s="552" t="str">
        <f t="shared" si="34"/>
        <v>BI+</v>
      </c>
      <c r="AA109" s="552">
        <f t="shared" si="35"/>
        <v>0</v>
      </c>
      <c r="AB109" s="552">
        <v>1</v>
      </c>
      <c r="AC109" s="552">
        <v>1</v>
      </c>
      <c r="AD109" s="552">
        <v>1</v>
      </c>
      <c r="AE109" s="552">
        <v>1</v>
      </c>
      <c r="AF109" s="552">
        <v>1</v>
      </c>
      <c r="AG109" s="542" t="s">
        <v>561</v>
      </c>
      <c r="AH109" s="552">
        <v>0</v>
      </c>
      <c r="AI109" s="552">
        <v>0</v>
      </c>
      <c r="AJ109" s="552">
        <v>1</v>
      </c>
      <c r="AK109" s="552">
        <v>1</v>
      </c>
      <c r="AL109" s="552">
        <v>1</v>
      </c>
      <c r="AM109" s="552">
        <v>0</v>
      </c>
      <c r="AN109" s="552">
        <v>0</v>
      </c>
      <c r="AO109" s="552">
        <v>1</v>
      </c>
      <c r="AP109" s="552">
        <v>1</v>
      </c>
      <c r="AQ109" s="552">
        <v>1</v>
      </c>
      <c r="AR109" s="552">
        <v>1</v>
      </c>
      <c r="AS109" s="552">
        <v>1</v>
      </c>
      <c r="AT109" s="552">
        <v>1</v>
      </c>
      <c r="AU109" s="552">
        <v>1</v>
      </c>
      <c r="AV109" s="553" t="str">
        <f>IF(H109="YES","'"&amp;INDEX('Structure Groups'!$C$12:$C$14,MATCH('Load Criteria'!$B$5,'Structure Groups'!$B$12:$B$14,0),1)&amp;"'","'All'")</f>
        <v>'GL Max 800m'</v>
      </c>
      <c r="AW109" s="552" t="s">
        <v>562</v>
      </c>
      <c r="AX109" s="552"/>
      <c r="AY109" s="552" t="str">
        <f t="shared" si="32"/>
        <v>Yes</v>
      </c>
      <c r="AZ109" s="554" t="str">
        <f t="shared" si="33"/>
        <v>Back Spans</v>
      </c>
      <c r="BA109" s="554" t="str">
        <f t="shared" si="24"/>
        <v>% Wire Wind Pressure</v>
      </c>
      <c r="BB109" s="552">
        <f t="shared" si="25"/>
        <v>75</v>
      </c>
      <c r="BC109" s="554"/>
      <c r="BD109" s="552"/>
      <c r="BE109" s="554"/>
      <c r="BF109" s="554"/>
      <c r="BG109" s="554"/>
      <c r="BH109" s="554"/>
      <c r="BI109" s="554"/>
      <c r="BJ109" s="554"/>
      <c r="BK109" s="554"/>
      <c r="BL109" s="554"/>
      <c r="BM109" s="554"/>
      <c r="BN109" s="554"/>
      <c r="BO109" s="554"/>
      <c r="BP109" s="554"/>
      <c r="BQ109" s="554"/>
      <c r="BR109" s="554"/>
      <c r="BS109" s="554"/>
      <c r="BT109" s="554"/>
      <c r="BU109" s="554"/>
      <c r="BV109" s="554"/>
      <c r="BW109" s="554"/>
      <c r="BX109" s="554"/>
      <c r="BY109" s="554"/>
      <c r="BZ109" s="554"/>
      <c r="CA109" s="554"/>
      <c r="CB109" s="554"/>
      <c r="CC109" s="554"/>
      <c r="CD109" s="554"/>
      <c r="CE109" s="554"/>
      <c r="CF109" s="554"/>
      <c r="CG109" s="554"/>
      <c r="CH109" s="554"/>
      <c r="CI109" s="554"/>
      <c r="CJ109" s="554"/>
      <c r="CK109" s="554"/>
      <c r="CL109" s="554"/>
      <c r="CM109" s="554"/>
      <c r="CN109" s="554"/>
      <c r="CO109" s="554"/>
      <c r="CP109" s="554"/>
      <c r="CQ109" s="554"/>
      <c r="CR109" s="554"/>
      <c r="CS109" s="554"/>
      <c r="CT109" s="554"/>
      <c r="CU109" s="554"/>
      <c r="CV109" s="554"/>
      <c r="CW109" s="554"/>
      <c r="CX109" s="554"/>
      <c r="CY109" s="554"/>
      <c r="CZ109" s="554"/>
      <c r="DA109" s="554"/>
      <c r="DB109" s="554"/>
      <c r="DC109" s="554"/>
      <c r="DD109" s="554"/>
      <c r="DE109" s="534"/>
      <c r="DF109" s="534"/>
      <c r="DG109" s="534"/>
    </row>
    <row r="110" spans="1:111" ht="15" x14ac:dyDescent="0.25">
      <c r="A110" s="549">
        <f>IF(Control!$D$5="Y","-",1)</f>
        <v>1</v>
      </c>
      <c r="B110" s="555" t="s">
        <v>558</v>
      </c>
      <c r="C110" s="555" t="s">
        <v>559</v>
      </c>
      <c r="D110" s="555" t="s">
        <v>563</v>
      </c>
      <c r="E110" s="556" t="s">
        <v>22</v>
      </c>
      <c r="F110" s="556" t="s">
        <v>22</v>
      </c>
      <c r="G110" s="556" t="str">
        <f>IFERROR(IF(MID('Load Criteria'!X110,FIND("_",'Load Criteria'!X110,1)+1,1)=LEFT(Control!$D$23,1),"YES","-"),"-")</f>
        <v>YES</v>
      </c>
      <c r="H110" s="549" t="str">
        <f>IF(INDEX('Weather Cases'!$G$10:$G$94,MATCH('Load Criteria'!X110,'Weather Cases'!$H$10:$H$94,0),1)="H","YES","")</f>
        <v>YES</v>
      </c>
      <c r="I110" s="557" t="s">
        <v>299</v>
      </c>
      <c r="J110" s="550">
        <f t="shared" si="31"/>
        <v>300</v>
      </c>
      <c r="K110" s="550" t="s">
        <v>60</v>
      </c>
      <c r="L110" s="550" t="s">
        <v>40</v>
      </c>
      <c r="M110" s="550"/>
      <c r="N110" s="550"/>
      <c r="O110" s="550"/>
      <c r="P110" s="392"/>
      <c r="Q110" s="392"/>
      <c r="R110" s="392"/>
      <c r="S110" s="392"/>
      <c r="T110" s="392"/>
      <c r="U110" s="550" t="str">
        <f t="shared" si="36"/>
        <v>BI+</v>
      </c>
      <c r="V110" s="560">
        <f t="shared" si="36"/>
        <v>-15</v>
      </c>
      <c r="W110" s="542" t="str">
        <f t="shared" si="15"/>
        <v>MW0300_A8+DB BI+-15</v>
      </c>
      <c r="X110" s="552" t="str">
        <f>I110&amp;TEXT(J110,"0000")&amp;"_"&amp;LEFT(Control!$D$23,1)&amp;LEFT(Control!$D$22,LEN(Control!$D$22)-2)</f>
        <v>MW0300_A8</v>
      </c>
      <c r="Y110" s="552" t="s">
        <v>433</v>
      </c>
      <c r="Z110" s="552" t="str">
        <f t="shared" si="34"/>
        <v>BI+</v>
      </c>
      <c r="AA110" s="552">
        <f t="shared" si="35"/>
        <v>-15</v>
      </c>
      <c r="AB110" s="552">
        <v>1</v>
      </c>
      <c r="AC110" s="552">
        <v>1</v>
      </c>
      <c r="AD110" s="552">
        <v>1</v>
      </c>
      <c r="AE110" s="552">
        <v>1</v>
      </c>
      <c r="AF110" s="552">
        <v>1</v>
      </c>
      <c r="AG110" s="542" t="s">
        <v>561</v>
      </c>
      <c r="AH110" s="552">
        <v>0</v>
      </c>
      <c r="AI110" s="552">
        <v>0</v>
      </c>
      <c r="AJ110" s="552">
        <v>1</v>
      </c>
      <c r="AK110" s="552">
        <v>1</v>
      </c>
      <c r="AL110" s="552">
        <v>1</v>
      </c>
      <c r="AM110" s="552">
        <v>0</v>
      </c>
      <c r="AN110" s="552">
        <v>0</v>
      </c>
      <c r="AO110" s="552">
        <v>1</v>
      </c>
      <c r="AP110" s="552">
        <v>1</v>
      </c>
      <c r="AQ110" s="552">
        <v>1</v>
      </c>
      <c r="AR110" s="552">
        <v>1</v>
      </c>
      <c r="AS110" s="552">
        <v>1</v>
      </c>
      <c r="AT110" s="552">
        <v>1</v>
      </c>
      <c r="AU110" s="552">
        <v>1</v>
      </c>
      <c r="AV110" s="553" t="str">
        <f>IF(H110="YES","'"&amp;INDEX('Structure Groups'!$C$12:$C$14,MATCH('Load Criteria'!$B$5,'Structure Groups'!$B$12:$B$14,0),1)&amp;"'","'All'")</f>
        <v>'GL Max 800m'</v>
      </c>
      <c r="AW110" s="552" t="s">
        <v>562</v>
      </c>
      <c r="AX110" s="552"/>
      <c r="AY110" s="552" t="str">
        <f t="shared" si="32"/>
        <v>Yes</v>
      </c>
      <c r="AZ110" s="554" t="str">
        <f t="shared" si="33"/>
        <v>Back Spans</v>
      </c>
      <c r="BA110" s="554" t="str">
        <f t="shared" si="24"/>
        <v>% Wire Wind Pressure</v>
      </c>
      <c r="BB110" s="552">
        <f t="shared" si="25"/>
        <v>75</v>
      </c>
      <c r="BC110" s="554"/>
      <c r="BD110" s="552"/>
      <c r="BE110" s="554"/>
      <c r="BF110" s="554"/>
      <c r="BG110" s="554"/>
      <c r="BH110" s="554"/>
      <c r="BI110" s="554"/>
      <c r="BJ110" s="554"/>
      <c r="BK110" s="554"/>
      <c r="BL110" s="554"/>
      <c r="BM110" s="554"/>
      <c r="BN110" s="554"/>
      <c r="BO110" s="554"/>
      <c r="BP110" s="554"/>
      <c r="BQ110" s="554"/>
      <c r="BR110" s="554"/>
      <c r="BS110" s="554"/>
      <c r="BT110" s="554"/>
      <c r="BU110" s="554"/>
      <c r="BV110" s="554"/>
      <c r="BW110" s="554"/>
      <c r="BX110" s="554"/>
      <c r="BY110" s="554"/>
      <c r="BZ110" s="554"/>
      <c r="CA110" s="554"/>
      <c r="CB110" s="554"/>
      <c r="CC110" s="554"/>
      <c r="CD110" s="554"/>
      <c r="CE110" s="554"/>
      <c r="CF110" s="554"/>
      <c r="CG110" s="554"/>
      <c r="CH110" s="554"/>
      <c r="CI110" s="554"/>
      <c r="CJ110" s="554"/>
      <c r="CK110" s="554"/>
      <c r="CL110" s="554"/>
      <c r="CM110" s="554"/>
      <c r="CN110" s="554"/>
      <c r="CO110" s="554"/>
      <c r="CP110" s="554"/>
      <c r="CQ110" s="554"/>
      <c r="CR110" s="554"/>
      <c r="CS110" s="554"/>
      <c r="CT110" s="554"/>
      <c r="CU110" s="554"/>
      <c r="CV110" s="554"/>
      <c r="CW110" s="554"/>
      <c r="CX110" s="554"/>
      <c r="CY110" s="554"/>
      <c r="CZ110" s="554"/>
      <c r="DA110" s="554"/>
      <c r="DB110" s="554"/>
      <c r="DC110" s="554"/>
      <c r="DD110" s="554"/>
      <c r="DE110" s="534"/>
      <c r="DF110" s="534"/>
      <c r="DG110" s="534"/>
    </row>
    <row r="111" spans="1:111" ht="15" x14ac:dyDescent="0.25">
      <c r="A111" s="549">
        <f>IF(Control!$D$5="Y","-",1)</f>
        <v>1</v>
      </c>
      <c r="B111" s="555" t="s">
        <v>558</v>
      </c>
      <c r="C111" s="555" t="s">
        <v>559</v>
      </c>
      <c r="D111" s="555" t="s">
        <v>563</v>
      </c>
      <c r="E111" s="556" t="s">
        <v>22</v>
      </c>
      <c r="F111" s="556" t="s">
        <v>22</v>
      </c>
      <c r="G111" s="556" t="str">
        <f>IFERROR(IF(MID('Load Criteria'!X111,FIND("_",'Load Criteria'!X111,1)+1,1)=LEFT(Control!$D$23,1),"YES","-"),"-")</f>
        <v>YES</v>
      </c>
      <c r="H111" s="549" t="str">
        <f>IF(INDEX('Weather Cases'!$G$10:$G$94,MATCH('Load Criteria'!X111,'Weather Cases'!$H$10:$H$94,0),1)="H","YES","")</f>
        <v>YES</v>
      </c>
      <c r="I111" s="557" t="s">
        <v>299</v>
      </c>
      <c r="J111" s="550">
        <f t="shared" si="31"/>
        <v>300</v>
      </c>
      <c r="K111" s="550" t="s">
        <v>60</v>
      </c>
      <c r="L111" s="550" t="s">
        <v>40</v>
      </c>
      <c r="M111" s="550"/>
      <c r="N111" s="550"/>
      <c r="O111" s="550"/>
      <c r="P111" s="392"/>
      <c r="Q111" s="392"/>
      <c r="R111" s="392"/>
      <c r="S111" s="392"/>
      <c r="T111" s="392"/>
      <c r="U111" s="550" t="str">
        <f t="shared" si="36"/>
        <v>BI+</v>
      </c>
      <c r="V111" s="560">
        <f t="shared" si="36"/>
        <v>-30</v>
      </c>
      <c r="W111" s="542" t="str">
        <f t="shared" si="15"/>
        <v>MW0300_A8+DB BI+-30</v>
      </c>
      <c r="X111" s="552" t="str">
        <f>I111&amp;TEXT(J111,"0000")&amp;"_"&amp;LEFT(Control!$D$23,1)&amp;LEFT(Control!$D$22,LEN(Control!$D$22)-2)</f>
        <v>MW0300_A8</v>
      </c>
      <c r="Y111" s="552" t="s">
        <v>433</v>
      </c>
      <c r="Z111" s="552" t="str">
        <f t="shared" si="34"/>
        <v>BI+</v>
      </c>
      <c r="AA111" s="552">
        <f t="shared" si="35"/>
        <v>-30</v>
      </c>
      <c r="AB111" s="552">
        <v>1</v>
      </c>
      <c r="AC111" s="552">
        <v>1</v>
      </c>
      <c r="AD111" s="552">
        <v>1</v>
      </c>
      <c r="AE111" s="552">
        <v>1</v>
      </c>
      <c r="AF111" s="552">
        <v>1</v>
      </c>
      <c r="AG111" s="542" t="s">
        <v>561</v>
      </c>
      <c r="AH111" s="552">
        <v>0</v>
      </c>
      <c r="AI111" s="552">
        <v>0</v>
      </c>
      <c r="AJ111" s="552">
        <v>1</v>
      </c>
      <c r="AK111" s="552">
        <v>1</v>
      </c>
      <c r="AL111" s="552">
        <v>1</v>
      </c>
      <c r="AM111" s="552">
        <v>0</v>
      </c>
      <c r="AN111" s="552">
        <v>0</v>
      </c>
      <c r="AO111" s="552">
        <v>1</v>
      </c>
      <c r="AP111" s="552">
        <v>1</v>
      </c>
      <c r="AQ111" s="552">
        <v>1</v>
      </c>
      <c r="AR111" s="552">
        <v>1</v>
      </c>
      <c r="AS111" s="552">
        <v>1</v>
      </c>
      <c r="AT111" s="552">
        <v>1</v>
      </c>
      <c r="AU111" s="552">
        <v>1</v>
      </c>
      <c r="AV111" s="553" t="str">
        <f>IF(H111="YES","'"&amp;INDEX('Structure Groups'!$C$12:$C$14,MATCH('Load Criteria'!$B$5,'Structure Groups'!$B$12:$B$14,0),1)&amp;"'","'All'")</f>
        <v>'GL Max 800m'</v>
      </c>
      <c r="AW111" s="552" t="s">
        <v>562</v>
      </c>
      <c r="AX111" s="552"/>
      <c r="AY111" s="552" t="str">
        <f t="shared" si="32"/>
        <v>Yes</v>
      </c>
      <c r="AZ111" s="554" t="str">
        <f t="shared" si="33"/>
        <v>Back Spans</v>
      </c>
      <c r="BA111" s="554" t="str">
        <f t="shared" si="24"/>
        <v>% Wire Wind Pressure</v>
      </c>
      <c r="BB111" s="552">
        <f t="shared" si="25"/>
        <v>75</v>
      </c>
      <c r="BC111" s="554"/>
      <c r="BD111" s="552"/>
      <c r="BE111" s="554"/>
      <c r="BF111" s="554"/>
      <c r="BG111" s="554"/>
      <c r="BH111" s="554"/>
      <c r="BI111" s="554"/>
      <c r="BJ111" s="554"/>
      <c r="BK111" s="554"/>
      <c r="BL111" s="554"/>
      <c r="BM111" s="554"/>
      <c r="BN111" s="554"/>
      <c r="BO111" s="554"/>
      <c r="BP111" s="554"/>
      <c r="BQ111" s="554"/>
      <c r="BR111" s="554"/>
      <c r="BS111" s="554"/>
      <c r="BT111" s="554"/>
      <c r="BU111" s="554"/>
      <c r="BV111" s="554"/>
      <c r="BW111" s="554"/>
      <c r="BX111" s="554"/>
      <c r="BY111" s="554"/>
      <c r="BZ111" s="554"/>
      <c r="CA111" s="554"/>
      <c r="CB111" s="554"/>
      <c r="CC111" s="554"/>
      <c r="CD111" s="554"/>
      <c r="CE111" s="554"/>
      <c r="CF111" s="554"/>
      <c r="CG111" s="554"/>
      <c r="CH111" s="554"/>
      <c r="CI111" s="554"/>
      <c r="CJ111" s="554"/>
      <c r="CK111" s="554"/>
      <c r="CL111" s="554"/>
      <c r="CM111" s="554"/>
      <c r="CN111" s="554"/>
      <c r="CO111" s="554"/>
      <c r="CP111" s="554"/>
      <c r="CQ111" s="554"/>
      <c r="CR111" s="554"/>
      <c r="CS111" s="554"/>
      <c r="CT111" s="554"/>
      <c r="CU111" s="554"/>
      <c r="CV111" s="554"/>
      <c r="CW111" s="554"/>
      <c r="CX111" s="554"/>
      <c r="CY111" s="554"/>
      <c r="CZ111" s="554"/>
      <c r="DA111" s="554"/>
      <c r="DB111" s="554"/>
      <c r="DC111" s="554"/>
      <c r="DD111" s="554"/>
      <c r="DE111" s="534"/>
      <c r="DF111" s="534"/>
      <c r="DG111" s="534"/>
    </row>
    <row r="112" spans="1:111" ht="15" x14ac:dyDescent="0.25">
      <c r="A112" s="549">
        <f>IF(Control!$D$5="Y","-",1)</f>
        <v>1</v>
      </c>
      <c r="B112" s="555" t="s">
        <v>558</v>
      </c>
      <c r="C112" s="555" t="s">
        <v>559</v>
      </c>
      <c r="D112" s="555" t="s">
        <v>563</v>
      </c>
      <c r="E112" s="556" t="s">
        <v>22</v>
      </c>
      <c r="F112" s="556" t="s">
        <v>22</v>
      </c>
      <c r="G112" s="556" t="str">
        <f>IFERROR(IF(MID('Load Criteria'!X112,FIND("_",'Load Criteria'!X112,1)+1,1)=LEFT(Control!$D$23,1),"YES","-"),"-")</f>
        <v>YES</v>
      </c>
      <c r="H112" s="549" t="str">
        <f>IF(INDEX('Weather Cases'!$G$10:$G$94,MATCH('Load Criteria'!X112,'Weather Cases'!$H$10:$H$94,0),1)="H","YES","")</f>
        <v>YES</v>
      </c>
      <c r="I112" s="557" t="s">
        <v>299</v>
      </c>
      <c r="J112" s="550">
        <f t="shared" si="31"/>
        <v>300</v>
      </c>
      <c r="K112" s="550" t="s">
        <v>60</v>
      </c>
      <c r="L112" s="550" t="s">
        <v>40</v>
      </c>
      <c r="M112" s="550"/>
      <c r="N112" s="550"/>
      <c r="O112" s="550"/>
      <c r="P112" s="392"/>
      <c r="Q112" s="392"/>
      <c r="R112" s="392"/>
      <c r="S112" s="392"/>
      <c r="T112" s="392"/>
      <c r="U112" s="550" t="str">
        <f t="shared" si="36"/>
        <v>BI+</v>
      </c>
      <c r="V112" s="560">
        <f t="shared" si="36"/>
        <v>-45</v>
      </c>
      <c r="W112" s="542" t="str">
        <f t="shared" si="15"/>
        <v>MW0300_A8+DB BI+-45</v>
      </c>
      <c r="X112" s="552" t="str">
        <f>I112&amp;TEXT(J112,"0000")&amp;"_"&amp;LEFT(Control!$D$23,1)&amp;LEFT(Control!$D$22,LEN(Control!$D$22)-2)</f>
        <v>MW0300_A8</v>
      </c>
      <c r="Y112" s="552" t="s">
        <v>433</v>
      </c>
      <c r="Z112" s="552" t="str">
        <f t="shared" si="34"/>
        <v>BI+</v>
      </c>
      <c r="AA112" s="552">
        <f t="shared" si="35"/>
        <v>-45</v>
      </c>
      <c r="AB112" s="552">
        <v>1</v>
      </c>
      <c r="AC112" s="552">
        <v>1</v>
      </c>
      <c r="AD112" s="552">
        <v>1</v>
      </c>
      <c r="AE112" s="552">
        <v>1</v>
      </c>
      <c r="AF112" s="552">
        <v>1</v>
      </c>
      <c r="AG112" s="542" t="s">
        <v>561</v>
      </c>
      <c r="AH112" s="552">
        <v>0</v>
      </c>
      <c r="AI112" s="552">
        <v>0</v>
      </c>
      <c r="AJ112" s="552">
        <v>1</v>
      </c>
      <c r="AK112" s="552">
        <v>1</v>
      </c>
      <c r="AL112" s="552">
        <v>1</v>
      </c>
      <c r="AM112" s="552">
        <v>0</v>
      </c>
      <c r="AN112" s="552">
        <v>0</v>
      </c>
      <c r="AO112" s="552">
        <v>1</v>
      </c>
      <c r="AP112" s="552">
        <v>1</v>
      </c>
      <c r="AQ112" s="552">
        <v>1</v>
      </c>
      <c r="AR112" s="552">
        <v>1</v>
      </c>
      <c r="AS112" s="552">
        <v>1</v>
      </c>
      <c r="AT112" s="552">
        <v>1</v>
      </c>
      <c r="AU112" s="552">
        <v>1</v>
      </c>
      <c r="AV112" s="553" t="str">
        <f>IF(H112="YES","'"&amp;INDEX('Structure Groups'!$C$12:$C$14,MATCH('Load Criteria'!$B$5,'Structure Groups'!$B$12:$B$14,0),1)&amp;"'","'All'")</f>
        <v>'GL Max 800m'</v>
      </c>
      <c r="AW112" s="552" t="s">
        <v>562</v>
      </c>
      <c r="AX112" s="552"/>
      <c r="AY112" s="552" t="str">
        <f t="shared" si="32"/>
        <v>Yes</v>
      </c>
      <c r="AZ112" s="554" t="str">
        <f t="shared" si="33"/>
        <v>Back Spans</v>
      </c>
      <c r="BA112" s="554" t="str">
        <f t="shared" si="24"/>
        <v>% Wire Wind Pressure</v>
      </c>
      <c r="BB112" s="552">
        <f t="shared" si="25"/>
        <v>75</v>
      </c>
      <c r="BC112" s="554"/>
      <c r="BD112" s="552"/>
      <c r="BE112" s="554"/>
      <c r="BF112" s="554"/>
      <c r="BG112" s="554"/>
      <c r="BH112" s="554"/>
      <c r="BI112" s="554"/>
      <c r="BJ112" s="554"/>
      <c r="BK112" s="554"/>
      <c r="BL112" s="554"/>
      <c r="BM112" s="554"/>
      <c r="BN112" s="554"/>
      <c r="BO112" s="554"/>
      <c r="BP112" s="554"/>
      <c r="BQ112" s="554"/>
      <c r="BR112" s="554"/>
      <c r="BS112" s="554"/>
      <c r="BT112" s="554"/>
      <c r="BU112" s="554"/>
      <c r="BV112" s="554"/>
      <c r="BW112" s="554"/>
      <c r="BX112" s="554"/>
      <c r="BY112" s="554"/>
      <c r="BZ112" s="554"/>
      <c r="CA112" s="554"/>
      <c r="CB112" s="554"/>
      <c r="CC112" s="554"/>
      <c r="CD112" s="554"/>
      <c r="CE112" s="554"/>
      <c r="CF112" s="554"/>
      <c r="CG112" s="554"/>
      <c r="CH112" s="554"/>
      <c r="CI112" s="554"/>
      <c r="CJ112" s="554"/>
      <c r="CK112" s="554"/>
      <c r="CL112" s="554"/>
      <c r="CM112" s="554"/>
      <c r="CN112" s="554"/>
      <c r="CO112" s="554"/>
      <c r="CP112" s="554"/>
      <c r="CQ112" s="554"/>
      <c r="CR112" s="554"/>
      <c r="CS112" s="554"/>
      <c r="CT112" s="554"/>
      <c r="CU112" s="554"/>
      <c r="CV112" s="554"/>
      <c r="CW112" s="554"/>
      <c r="CX112" s="554"/>
      <c r="CY112" s="554"/>
      <c r="CZ112" s="554"/>
      <c r="DA112" s="554"/>
      <c r="DB112" s="554"/>
      <c r="DC112" s="554"/>
      <c r="DD112" s="554"/>
      <c r="DE112" s="534"/>
      <c r="DF112" s="534"/>
      <c r="DG112" s="534"/>
    </row>
    <row r="113" spans="1:111" ht="15" x14ac:dyDescent="0.25">
      <c r="A113" s="549">
        <f>IF(Control!$D$5="Y","-",1)</f>
        <v>1</v>
      </c>
      <c r="B113" s="555" t="s">
        <v>558</v>
      </c>
      <c r="C113" s="555" t="s">
        <v>559</v>
      </c>
      <c r="D113" s="555" t="s">
        <v>563</v>
      </c>
      <c r="E113" s="556" t="s">
        <v>22</v>
      </c>
      <c r="F113" s="556" t="s">
        <v>22</v>
      </c>
      <c r="G113" s="556" t="str">
        <f>IFERROR(IF(MID('Load Criteria'!X113,FIND("_",'Load Criteria'!X113,1)+1,1)=LEFT(Control!$D$23,1),"YES","-"),"-")</f>
        <v>YES</v>
      </c>
      <c r="H113" s="549" t="str">
        <f>IF(INDEX('Weather Cases'!$G$10:$G$94,MATCH('Load Criteria'!X113,'Weather Cases'!$H$10:$H$94,0),1)="H","YES","")</f>
        <v>YES</v>
      </c>
      <c r="I113" s="557" t="s">
        <v>299</v>
      </c>
      <c r="J113" s="550">
        <f t="shared" si="31"/>
        <v>300</v>
      </c>
      <c r="K113" s="550" t="s">
        <v>60</v>
      </c>
      <c r="L113" s="550" t="s">
        <v>40</v>
      </c>
      <c r="M113" s="550"/>
      <c r="N113" s="550"/>
      <c r="O113" s="550"/>
      <c r="P113" s="392"/>
      <c r="Q113" s="392"/>
      <c r="R113" s="392"/>
      <c r="S113" s="392"/>
      <c r="T113" s="392"/>
      <c r="U113" s="550" t="str">
        <f t="shared" si="36"/>
        <v>BI+</v>
      </c>
      <c r="V113" s="560">
        <f t="shared" si="36"/>
        <v>-90</v>
      </c>
      <c r="W113" s="542" t="str">
        <f t="shared" si="15"/>
        <v>MW0300_A8+DB BI+-90</v>
      </c>
      <c r="X113" s="552" t="str">
        <f>I113&amp;TEXT(J113,"0000")&amp;"_"&amp;LEFT(Control!$D$23,1)&amp;LEFT(Control!$D$22,LEN(Control!$D$22)-2)</f>
        <v>MW0300_A8</v>
      </c>
      <c r="Y113" s="552" t="s">
        <v>433</v>
      </c>
      <c r="Z113" s="552" t="str">
        <f t="shared" si="34"/>
        <v>BI+</v>
      </c>
      <c r="AA113" s="552">
        <f t="shared" si="35"/>
        <v>-90</v>
      </c>
      <c r="AB113" s="552">
        <v>1</v>
      </c>
      <c r="AC113" s="552">
        <v>1</v>
      </c>
      <c r="AD113" s="552">
        <v>1</v>
      </c>
      <c r="AE113" s="552">
        <v>1</v>
      </c>
      <c r="AF113" s="552">
        <v>1</v>
      </c>
      <c r="AG113" s="542" t="s">
        <v>561</v>
      </c>
      <c r="AH113" s="552">
        <v>0</v>
      </c>
      <c r="AI113" s="552">
        <v>0</v>
      </c>
      <c r="AJ113" s="552">
        <v>1</v>
      </c>
      <c r="AK113" s="552">
        <v>1</v>
      </c>
      <c r="AL113" s="552">
        <v>1</v>
      </c>
      <c r="AM113" s="552">
        <v>0</v>
      </c>
      <c r="AN113" s="552">
        <v>0</v>
      </c>
      <c r="AO113" s="552">
        <v>1</v>
      </c>
      <c r="AP113" s="552">
        <v>1</v>
      </c>
      <c r="AQ113" s="552">
        <v>1</v>
      </c>
      <c r="AR113" s="552">
        <v>1</v>
      </c>
      <c r="AS113" s="552">
        <v>1</v>
      </c>
      <c r="AT113" s="552">
        <v>1</v>
      </c>
      <c r="AU113" s="552">
        <v>1</v>
      </c>
      <c r="AV113" s="553" t="str">
        <f>IF(H113="YES","'"&amp;INDEX('Structure Groups'!$C$12:$C$14,MATCH('Load Criteria'!$B$5,'Structure Groups'!$B$12:$B$14,0),1)&amp;"'","'All'")</f>
        <v>'GL Max 800m'</v>
      </c>
      <c r="AW113" s="552" t="s">
        <v>562</v>
      </c>
      <c r="AX113" s="552"/>
      <c r="AY113" s="552" t="str">
        <f t="shared" si="32"/>
        <v>Yes</v>
      </c>
      <c r="AZ113" s="554" t="str">
        <f t="shared" si="33"/>
        <v>Back Spans</v>
      </c>
      <c r="BA113" s="554" t="str">
        <f t="shared" si="24"/>
        <v>% Wire Wind Pressure</v>
      </c>
      <c r="BB113" s="552">
        <f t="shared" si="25"/>
        <v>75</v>
      </c>
      <c r="BC113" s="554"/>
      <c r="BD113" s="552"/>
      <c r="BE113" s="554"/>
      <c r="BF113" s="554"/>
      <c r="BG113" s="554"/>
      <c r="BH113" s="554"/>
      <c r="BI113" s="554"/>
      <c r="BJ113" s="554"/>
      <c r="BK113" s="554"/>
      <c r="BL113" s="554"/>
      <c r="BM113" s="554"/>
      <c r="BN113" s="554"/>
      <c r="BO113" s="554"/>
      <c r="BP113" s="554"/>
      <c r="BQ113" s="554"/>
      <c r="BR113" s="554"/>
      <c r="BS113" s="554"/>
      <c r="BT113" s="554"/>
      <c r="BU113" s="554"/>
      <c r="BV113" s="554"/>
      <c r="BW113" s="554"/>
      <c r="BX113" s="554"/>
      <c r="BY113" s="554"/>
      <c r="BZ113" s="554"/>
      <c r="CA113" s="554"/>
      <c r="CB113" s="554"/>
      <c r="CC113" s="554"/>
      <c r="CD113" s="554"/>
      <c r="CE113" s="554"/>
      <c r="CF113" s="554"/>
      <c r="CG113" s="554"/>
      <c r="CH113" s="554"/>
      <c r="CI113" s="554"/>
      <c r="CJ113" s="554"/>
      <c r="CK113" s="554"/>
      <c r="CL113" s="554"/>
      <c r="CM113" s="554"/>
      <c r="CN113" s="554"/>
      <c r="CO113" s="554"/>
      <c r="CP113" s="554"/>
      <c r="CQ113" s="554"/>
      <c r="CR113" s="554"/>
      <c r="CS113" s="554"/>
      <c r="CT113" s="554"/>
      <c r="CU113" s="554"/>
      <c r="CV113" s="554"/>
      <c r="CW113" s="554"/>
      <c r="CX113" s="554"/>
      <c r="CY113" s="554"/>
      <c r="CZ113" s="554"/>
      <c r="DA113" s="554"/>
      <c r="DB113" s="554"/>
      <c r="DC113" s="554"/>
      <c r="DD113" s="554"/>
      <c r="DE113" s="534"/>
      <c r="DF113" s="534"/>
      <c r="DG113" s="534"/>
    </row>
    <row r="114" spans="1:111" ht="15" x14ac:dyDescent="0.25">
      <c r="A114" s="549">
        <f>IF(Control!$D$5="Y","-",1)</f>
        <v>1</v>
      </c>
      <c r="B114" s="555" t="s">
        <v>558</v>
      </c>
      <c r="C114" s="555" t="s">
        <v>559</v>
      </c>
      <c r="D114" s="555" t="s">
        <v>563</v>
      </c>
      <c r="E114" s="556" t="s">
        <v>22</v>
      </c>
      <c r="F114" s="556" t="s">
        <v>22</v>
      </c>
      <c r="G114" s="556" t="str">
        <f>IFERROR(IF(MID('Load Criteria'!X114,FIND("_",'Load Criteria'!X114,1)+1,1)=LEFT(Control!$D$23,1),"YES","-"),"-")</f>
        <v>YES</v>
      </c>
      <c r="H114" s="549" t="str">
        <f>IF(INDEX('Weather Cases'!$G$10:$G$94,MATCH('Load Criteria'!X114,'Weather Cases'!$H$10:$H$94,0),1)="H","YES","")</f>
        <v>YES</v>
      </c>
      <c r="I114" s="557" t="s">
        <v>299</v>
      </c>
      <c r="J114" s="550">
        <f t="shared" si="31"/>
        <v>300</v>
      </c>
      <c r="K114" s="550" t="s">
        <v>60</v>
      </c>
      <c r="L114" s="550" t="s">
        <v>40</v>
      </c>
      <c r="M114" s="550"/>
      <c r="N114" s="550"/>
      <c r="O114" s="550"/>
      <c r="P114" s="392"/>
      <c r="Q114" s="392"/>
      <c r="R114" s="392"/>
      <c r="S114" s="392"/>
      <c r="T114" s="392"/>
      <c r="U114" s="550" t="str">
        <f t="shared" si="36"/>
        <v>BI-</v>
      </c>
      <c r="V114" s="560">
        <f t="shared" si="36"/>
        <v>90</v>
      </c>
      <c r="W114" s="542" t="str">
        <f t="shared" si="15"/>
        <v>MW0300_A8+DB BI-+90</v>
      </c>
      <c r="X114" s="552" t="str">
        <f>I114&amp;TEXT(J114,"0000")&amp;"_"&amp;LEFT(Control!$D$23,1)&amp;LEFT(Control!$D$22,LEN(Control!$D$22)-2)</f>
        <v>MW0300_A8</v>
      </c>
      <c r="Y114" s="552" t="s">
        <v>433</v>
      </c>
      <c r="Z114" s="552" t="str">
        <f t="shared" si="34"/>
        <v>BI-</v>
      </c>
      <c r="AA114" s="552">
        <f t="shared" si="35"/>
        <v>90</v>
      </c>
      <c r="AB114" s="552">
        <v>1</v>
      </c>
      <c r="AC114" s="552">
        <v>1</v>
      </c>
      <c r="AD114" s="552">
        <v>1</v>
      </c>
      <c r="AE114" s="552">
        <v>1</v>
      </c>
      <c r="AF114" s="552">
        <v>1</v>
      </c>
      <c r="AG114" s="542" t="s">
        <v>561</v>
      </c>
      <c r="AH114" s="552">
        <v>0</v>
      </c>
      <c r="AI114" s="552">
        <v>0</v>
      </c>
      <c r="AJ114" s="552">
        <v>1</v>
      </c>
      <c r="AK114" s="552">
        <v>1</v>
      </c>
      <c r="AL114" s="552">
        <v>1</v>
      </c>
      <c r="AM114" s="552">
        <v>0</v>
      </c>
      <c r="AN114" s="552">
        <v>0</v>
      </c>
      <c r="AO114" s="552">
        <v>1</v>
      </c>
      <c r="AP114" s="552">
        <v>1</v>
      </c>
      <c r="AQ114" s="552">
        <v>1</v>
      </c>
      <c r="AR114" s="552">
        <v>1</v>
      </c>
      <c r="AS114" s="552">
        <v>1</v>
      </c>
      <c r="AT114" s="552">
        <v>1</v>
      </c>
      <c r="AU114" s="552">
        <v>1</v>
      </c>
      <c r="AV114" s="553" t="str">
        <f>IF(H114="YES","'"&amp;INDEX('Structure Groups'!$C$12:$C$14,MATCH('Load Criteria'!$B$5,'Structure Groups'!$B$12:$B$14,0),1)&amp;"'","'All'")</f>
        <v>'GL Max 800m'</v>
      </c>
      <c r="AW114" s="552" t="s">
        <v>562</v>
      </c>
      <c r="AX114" s="552"/>
      <c r="AY114" s="552" t="str">
        <f t="shared" si="32"/>
        <v>Yes</v>
      </c>
      <c r="AZ114" s="554" t="str">
        <f t="shared" si="33"/>
        <v>Back Spans</v>
      </c>
      <c r="BA114" s="554" t="str">
        <f t="shared" si="24"/>
        <v>% Wire Wind Pressure</v>
      </c>
      <c r="BB114" s="552">
        <f t="shared" si="25"/>
        <v>75</v>
      </c>
      <c r="BC114" s="554"/>
      <c r="BD114" s="552"/>
      <c r="BE114" s="554"/>
      <c r="BF114" s="554"/>
      <c r="BG114" s="554"/>
      <c r="BH114" s="554"/>
      <c r="BI114" s="554"/>
      <c r="BJ114" s="554"/>
      <c r="BK114" s="554"/>
      <c r="BL114" s="554"/>
      <c r="BM114" s="554"/>
      <c r="BN114" s="554"/>
      <c r="BO114" s="554"/>
      <c r="BP114" s="554"/>
      <c r="BQ114" s="554"/>
      <c r="BR114" s="554"/>
      <c r="BS114" s="554"/>
      <c r="BT114" s="554"/>
      <c r="BU114" s="554"/>
      <c r="BV114" s="554"/>
      <c r="BW114" s="554"/>
      <c r="BX114" s="554"/>
      <c r="BY114" s="554"/>
      <c r="BZ114" s="554"/>
      <c r="CA114" s="554"/>
      <c r="CB114" s="554"/>
      <c r="CC114" s="554"/>
      <c r="CD114" s="554"/>
      <c r="CE114" s="554"/>
      <c r="CF114" s="554"/>
      <c r="CG114" s="554"/>
      <c r="CH114" s="554"/>
      <c r="CI114" s="554"/>
      <c r="CJ114" s="554"/>
      <c r="CK114" s="554"/>
      <c r="CL114" s="554"/>
      <c r="CM114" s="554"/>
      <c r="CN114" s="554"/>
      <c r="CO114" s="554"/>
      <c r="CP114" s="554"/>
      <c r="CQ114" s="554"/>
      <c r="CR114" s="554"/>
      <c r="CS114" s="554"/>
      <c r="CT114" s="554"/>
      <c r="CU114" s="554"/>
      <c r="CV114" s="554"/>
      <c r="CW114" s="554"/>
      <c r="CX114" s="554"/>
      <c r="CY114" s="554"/>
      <c r="CZ114" s="554"/>
      <c r="DA114" s="554"/>
      <c r="DB114" s="554"/>
      <c r="DC114" s="554"/>
      <c r="DD114" s="554"/>
      <c r="DE114" s="534"/>
      <c r="DF114" s="534"/>
      <c r="DG114" s="534"/>
    </row>
    <row r="115" spans="1:111" ht="15" x14ac:dyDescent="0.25">
      <c r="A115" s="549">
        <f>IF(Control!$D$5="Y","-",1)</f>
        <v>1</v>
      </c>
      <c r="B115" s="555" t="s">
        <v>558</v>
      </c>
      <c r="C115" s="555" t="s">
        <v>559</v>
      </c>
      <c r="D115" s="555" t="s">
        <v>563</v>
      </c>
      <c r="E115" s="556" t="s">
        <v>22</v>
      </c>
      <c r="F115" s="556" t="s">
        <v>22</v>
      </c>
      <c r="G115" s="556" t="str">
        <f>IFERROR(IF(MID('Load Criteria'!X115,FIND("_",'Load Criteria'!X115,1)+1,1)=LEFT(Control!$D$23,1),"YES","-"),"-")</f>
        <v>YES</v>
      </c>
      <c r="H115" s="549" t="str">
        <f>IF(INDEX('Weather Cases'!$G$10:$G$94,MATCH('Load Criteria'!X115,'Weather Cases'!$H$10:$H$94,0),1)="H","YES","")</f>
        <v>YES</v>
      </c>
      <c r="I115" s="557" t="s">
        <v>299</v>
      </c>
      <c r="J115" s="550">
        <f t="shared" si="31"/>
        <v>300</v>
      </c>
      <c r="K115" s="550" t="s">
        <v>60</v>
      </c>
      <c r="L115" s="550" t="s">
        <v>40</v>
      </c>
      <c r="M115" s="550"/>
      <c r="N115" s="550"/>
      <c r="O115" s="550"/>
      <c r="P115" s="392"/>
      <c r="Q115" s="392"/>
      <c r="R115" s="392"/>
      <c r="S115" s="392"/>
      <c r="T115" s="392"/>
      <c r="U115" s="550" t="str">
        <f t="shared" si="36"/>
        <v>BI-</v>
      </c>
      <c r="V115" s="560">
        <f t="shared" si="36"/>
        <v>45</v>
      </c>
      <c r="W115" s="542" t="str">
        <f t="shared" si="15"/>
        <v>MW0300_A8+DB BI-+45</v>
      </c>
      <c r="X115" s="552" t="str">
        <f>I115&amp;TEXT(J115,"0000")&amp;"_"&amp;LEFT(Control!$D$23,1)&amp;LEFT(Control!$D$22,LEN(Control!$D$22)-2)</f>
        <v>MW0300_A8</v>
      </c>
      <c r="Y115" s="552" t="s">
        <v>433</v>
      </c>
      <c r="Z115" s="552" t="str">
        <f t="shared" si="34"/>
        <v>BI-</v>
      </c>
      <c r="AA115" s="552">
        <f t="shared" si="35"/>
        <v>45</v>
      </c>
      <c r="AB115" s="552">
        <v>1</v>
      </c>
      <c r="AC115" s="552">
        <v>1</v>
      </c>
      <c r="AD115" s="552">
        <v>1</v>
      </c>
      <c r="AE115" s="552">
        <v>1</v>
      </c>
      <c r="AF115" s="552">
        <v>1</v>
      </c>
      <c r="AG115" s="542" t="s">
        <v>561</v>
      </c>
      <c r="AH115" s="552">
        <v>0</v>
      </c>
      <c r="AI115" s="552">
        <v>0</v>
      </c>
      <c r="AJ115" s="552">
        <v>1</v>
      </c>
      <c r="AK115" s="552">
        <v>1</v>
      </c>
      <c r="AL115" s="552">
        <v>1</v>
      </c>
      <c r="AM115" s="552">
        <v>0</v>
      </c>
      <c r="AN115" s="552">
        <v>0</v>
      </c>
      <c r="AO115" s="552">
        <v>1</v>
      </c>
      <c r="AP115" s="552">
        <v>1</v>
      </c>
      <c r="AQ115" s="552">
        <v>1</v>
      </c>
      <c r="AR115" s="552">
        <v>1</v>
      </c>
      <c r="AS115" s="552">
        <v>1</v>
      </c>
      <c r="AT115" s="552">
        <v>1</v>
      </c>
      <c r="AU115" s="552">
        <v>1</v>
      </c>
      <c r="AV115" s="553" t="str">
        <f>IF(H115="YES","'"&amp;INDEX('Structure Groups'!$C$12:$C$14,MATCH('Load Criteria'!$B$5,'Structure Groups'!$B$12:$B$14,0),1)&amp;"'","'All'")</f>
        <v>'GL Max 800m'</v>
      </c>
      <c r="AW115" s="552" t="s">
        <v>562</v>
      </c>
      <c r="AX115" s="552"/>
      <c r="AY115" s="552" t="str">
        <f t="shared" si="32"/>
        <v>Yes</v>
      </c>
      <c r="AZ115" s="554" t="str">
        <f t="shared" si="33"/>
        <v>Back Spans</v>
      </c>
      <c r="BA115" s="554" t="str">
        <f t="shared" si="24"/>
        <v>% Wire Wind Pressure</v>
      </c>
      <c r="BB115" s="552">
        <f t="shared" si="25"/>
        <v>75</v>
      </c>
      <c r="BC115" s="554"/>
      <c r="BD115" s="552"/>
      <c r="BE115" s="554"/>
      <c r="BF115" s="554"/>
      <c r="BG115" s="554"/>
      <c r="BH115" s="554"/>
      <c r="BI115" s="554"/>
      <c r="BJ115" s="554"/>
      <c r="BK115" s="554"/>
      <c r="BL115" s="554"/>
      <c r="BM115" s="554"/>
      <c r="BN115" s="554"/>
      <c r="BO115" s="554"/>
      <c r="BP115" s="554"/>
      <c r="BQ115" s="554"/>
      <c r="BR115" s="554"/>
      <c r="BS115" s="554"/>
      <c r="BT115" s="554"/>
      <c r="BU115" s="554"/>
      <c r="BV115" s="554"/>
      <c r="BW115" s="554"/>
      <c r="BX115" s="554"/>
      <c r="BY115" s="554"/>
      <c r="BZ115" s="554"/>
      <c r="CA115" s="554"/>
      <c r="CB115" s="554"/>
      <c r="CC115" s="554"/>
      <c r="CD115" s="554"/>
      <c r="CE115" s="554"/>
      <c r="CF115" s="554"/>
      <c r="CG115" s="554"/>
      <c r="CH115" s="554"/>
      <c r="CI115" s="554"/>
      <c r="CJ115" s="554"/>
      <c r="CK115" s="554"/>
      <c r="CL115" s="554"/>
      <c r="CM115" s="554"/>
      <c r="CN115" s="554"/>
      <c r="CO115" s="554"/>
      <c r="CP115" s="554"/>
      <c r="CQ115" s="554"/>
      <c r="CR115" s="554"/>
      <c r="CS115" s="554"/>
      <c r="CT115" s="554"/>
      <c r="CU115" s="554"/>
      <c r="CV115" s="554"/>
      <c r="CW115" s="554"/>
      <c r="CX115" s="554"/>
      <c r="CY115" s="554"/>
      <c r="CZ115" s="554"/>
      <c r="DA115" s="554"/>
      <c r="DB115" s="554"/>
      <c r="DC115" s="554"/>
      <c r="DD115" s="554"/>
      <c r="DE115" s="534"/>
      <c r="DF115" s="534"/>
      <c r="DG115" s="534"/>
    </row>
    <row r="116" spans="1:111" ht="15" x14ac:dyDescent="0.25">
      <c r="A116" s="549">
        <f>IF(Control!$D$5="Y","-",1)</f>
        <v>1</v>
      </c>
      <c r="B116" s="555" t="s">
        <v>558</v>
      </c>
      <c r="C116" s="555" t="s">
        <v>559</v>
      </c>
      <c r="D116" s="555" t="s">
        <v>563</v>
      </c>
      <c r="E116" s="556" t="s">
        <v>22</v>
      </c>
      <c r="F116" s="556" t="s">
        <v>22</v>
      </c>
      <c r="G116" s="556" t="str">
        <f>IFERROR(IF(MID('Load Criteria'!X116,FIND("_",'Load Criteria'!X116,1)+1,1)=LEFT(Control!$D$23,1),"YES","-"),"-")</f>
        <v>YES</v>
      </c>
      <c r="H116" s="549" t="str">
        <f>IF(INDEX('Weather Cases'!$G$10:$G$94,MATCH('Load Criteria'!X116,'Weather Cases'!$H$10:$H$94,0),1)="H","YES","")</f>
        <v>YES</v>
      </c>
      <c r="I116" s="557" t="s">
        <v>299</v>
      </c>
      <c r="J116" s="550">
        <f t="shared" si="31"/>
        <v>300</v>
      </c>
      <c r="K116" s="550" t="s">
        <v>60</v>
      </c>
      <c r="L116" s="550" t="s">
        <v>40</v>
      </c>
      <c r="M116" s="550"/>
      <c r="N116" s="550"/>
      <c r="O116" s="550"/>
      <c r="P116" s="392"/>
      <c r="Q116" s="392"/>
      <c r="R116" s="392"/>
      <c r="S116" s="392"/>
      <c r="T116" s="392"/>
      <c r="U116" s="550" t="str">
        <f t="shared" si="36"/>
        <v>BI-</v>
      </c>
      <c r="V116" s="560">
        <f t="shared" si="36"/>
        <v>30</v>
      </c>
      <c r="W116" s="542" t="str">
        <f t="shared" si="15"/>
        <v>MW0300_A8+DB BI-+30</v>
      </c>
      <c r="X116" s="552" t="str">
        <f>I116&amp;TEXT(J116,"0000")&amp;"_"&amp;LEFT(Control!$D$23,1)&amp;LEFT(Control!$D$22,LEN(Control!$D$22)-2)</f>
        <v>MW0300_A8</v>
      </c>
      <c r="Y116" s="552" t="s">
        <v>433</v>
      </c>
      <c r="Z116" s="552" t="str">
        <f t="shared" si="34"/>
        <v>BI-</v>
      </c>
      <c r="AA116" s="552">
        <f t="shared" si="35"/>
        <v>30</v>
      </c>
      <c r="AB116" s="552">
        <v>1</v>
      </c>
      <c r="AC116" s="552">
        <v>1</v>
      </c>
      <c r="AD116" s="552">
        <v>1</v>
      </c>
      <c r="AE116" s="552">
        <v>1</v>
      </c>
      <c r="AF116" s="552">
        <v>1</v>
      </c>
      <c r="AG116" s="542" t="s">
        <v>561</v>
      </c>
      <c r="AH116" s="552">
        <v>0</v>
      </c>
      <c r="AI116" s="552">
        <v>0</v>
      </c>
      <c r="AJ116" s="552">
        <v>1</v>
      </c>
      <c r="AK116" s="552">
        <v>1</v>
      </c>
      <c r="AL116" s="552">
        <v>1</v>
      </c>
      <c r="AM116" s="552">
        <v>0</v>
      </c>
      <c r="AN116" s="552">
        <v>0</v>
      </c>
      <c r="AO116" s="552">
        <v>1</v>
      </c>
      <c r="AP116" s="552">
        <v>1</v>
      </c>
      <c r="AQ116" s="552">
        <v>1</v>
      </c>
      <c r="AR116" s="552">
        <v>1</v>
      </c>
      <c r="AS116" s="552">
        <v>1</v>
      </c>
      <c r="AT116" s="552">
        <v>1</v>
      </c>
      <c r="AU116" s="552">
        <v>1</v>
      </c>
      <c r="AV116" s="553" t="str">
        <f>IF(H116="YES","'"&amp;INDEX('Structure Groups'!$C$12:$C$14,MATCH('Load Criteria'!$B$5,'Structure Groups'!$B$12:$B$14,0),1)&amp;"'","'All'")</f>
        <v>'GL Max 800m'</v>
      </c>
      <c r="AW116" s="552" t="s">
        <v>562</v>
      </c>
      <c r="AX116" s="552"/>
      <c r="AY116" s="552" t="str">
        <f t="shared" si="32"/>
        <v>Yes</v>
      </c>
      <c r="AZ116" s="554" t="str">
        <f t="shared" si="33"/>
        <v>Back Spans</v>
      </c>
      <c r="BA116" s="554" t="str">
        <f t="shared" si="24"/>
        <v>% Wire Wind Pressure</v>
      </c>
      <c r="BB116" s="552">
        <f t="shared" si="25"/>
        <v>75</v>
      </c>
      <c r="BC116" s="554"/>
      <c r="BD116" s="552"/>
      <c r="BE116" s="554"/>
      <c r="BF116" s="554"/>
      <c r="BG116" s="554"/>
      <c r="BH116" s="554"/>
      <c r="BI116" s="554"/>
      <c r="BJ116" s="554"/>
      <c r="BK116" s="554"/>
      <c r="BL116" s="554"/>
      <c r="BM116" s="554"/>
      <c r="BN116" s="554"/>
      <c r="BO116" s="554"/>
      <c r="BP116" s="554"/>
      <c r="BQ116" s="554"/>
      <c r="BR116" s="554"/>
      <c r="BS116" s="554"/>
      <c r="BT116" s="554"/>
      <c r="BU116" s="554"/>
      <c r="BV116" s="554"/>
      <c r="BW116" s="554"/>
      <c r="BX116" s="554"/>
      <c r="BY116" s="554"/>
      <c r="BZ116" s="554"/>
      <c r="CA116" s="554"/>
      <c r="CB116" s="554"/>
      <c r="CC116" s="554"/>
      <c r="CD116" s="554"/>
      <c r="CE116" s="554"/>
      <c r="CF116" s="554"/>
      <c r="CG116" s="554"/>
      <c r="CH116" s="554"/>
      <c r="CI116" s="554"/>
      <c r="CJ116" s="554"/>
      <c r="CK116" s="554"/>
      <c r="CL116" s="554"/>
      <c r="CM116" s="554"/>
      <c r="CN116" s="554"/>
      <c r="CO116" s="554"/>
      <c r="CP116" s="554"/>
      <c r="CQ116" s="554"/>
      <c r="CR116" s="554"/>
      <c r="CS116" s="554"/>
      <c r="CT116" s="554"/>
      <c r="CU116" s="554"/>
      <c r="CV116" s="554"/>
      <c r="CW116" s="554"/>
      <c r="CX116" s="554"/>
      <c r="CY116" s="554"/>
      <c r="CZ116" s="554"/>
      <c r="DA116" s="554"/>
      <c r="DB116" s="554"/>
      <c r="DC116" s="554"/>
      <c r="DD116" s="554"/>
      <c r="DE116" s="534"/>
      <c r="DF116" s="534"/>
      <c r="DG116" s="534"/>
    </row>
    <row r="117" spans="1:111" ht="15" x14ac:dyDescent="0.25">
      <c r="A117" s="549">
        <f>IF(Control!$D$5="Y","-",1)</f>
        <v>1</v>
      </c>
      <c r="B117" s="555" t="s">
        <v>558</v>
      </c>
      <c r="C117" s="555" t="s">
        <v>559</v>
      </c>
      <c r="D117" s="555" t="s">
        <v>563</v>
      </c>
      <c r="E117" s="556" t="s">
        <v>22</v>
      </c>
      <c r="F117" s="556" t="s">
        <v>22</v>
      </c>
      <c r="G117" s="556" t="str">
        <f>IFERROR(IF(MID('Load Criteria'!X117,FIND("_",'Load Criteria'!X117,1)+1,1)=LEFT(Control!$D$23,1),"YES","-"),"-")</f>
        <v>YES</v>
      </c>
      <c r="H117" s="549" t="str">
        <f>IF(INDEX('Weather Cases'!$G$10:$G$94,MATCH('Load Criteria'!X117,'Weather Cases'!$H$10:$H$94,0),1)="H","YES","")</f>
        <v>YES</v>
      </c>
      <c r="I117" s="557" t="s">
        <v>299</v>
      </c>
      <c r="J117" s="550">
        <f t="shared" si="31"/>
        <v>300</v>
      </c>
      <c r="K117" s="550" t="s">
        <v>60</v>
      </c>
      <c r="L117" s="550" t="s">
        <v>40</v>
      </c>
      <c r="M117" s="550"/>
      <c r="N117" s="550"/>
      <c r="O117" s="550"/>
      <c r="P117" s="392"/>
      <c r="Q117" s="392"/>
      <c r="R117" s="392"/>
      <c r="S117" s="392"/>
      <c r="T117" s="392"/>
      <c r="U117" s="550" t="str">
        <f t="shared" si="36"/>
        <v>BI-</v>
      </c>
      <c r="V117" s="560">
        <f t="shared" si="36"/>
        <v>15</v>
      </c>
      <c r="W117" s="542" t="str">
        <f t="shared" si="15"/>
        <v>MW0300_A8+DB BI-+15</v>
      </c>
      <c r="X117" s="552" t="str">
        <f>I117&amp;TEXT(J117,"0000")&amp;"_"&amp;LEFT(Control!$D$23,1)&amp;LEFT(Control!$D$22,LEN(Control!$D$22)-2)</f>
        <v>MW0300_A8</v>
      </c>
      <c r="Y117" s="552" t="s">
        <v>433</v>
      </c>
      <c r="Z117" s="552" t="str">
        <f t="shared" si="34"/>
        <v>BI-</v>
      </c>
      <c r="AA117" s="552">
        <f t="shared" si="35"/>
        <v>15</v>
      </c>
      <c r="AB117" s="552">
        <v>1</v>
      </c>
      <c r="AC117" s="552">
        <v>1</v>
      </c>
      <c r="AD117" s="552">
        <v>1</v>
      </c>
      <c r="AE117" s="552">
        <v>1</v>
      </c>
      <c r="AF117" s="552">
        <v>1</v>
      </c>
      <c r="AG117" s="542" t="s">
        <v>561</v>
      </c>
      <c r="AH117" s="552">
        <v>0</v>
      </c>
      <c r="AI117" s="552">
        <v>0</v>
      </c>
      <c r="AJ117" s="552">
        <v>1</v>
      </c>
      <c r="AK117" s="552">
        <v>1</v>
      </c>
      <c r="AL117" s="552">
        <v>1</v>
      </c>
      <c r="AM117" s="552">
        <v>0</v>
      </c>
      <c r="AN117" s="552">
        <v>0</v>
      </c>
      <c r="AO117" s="552">
        <v>1</v>
      </c>
      <c r="AP117" s="552">
        <v>1</v>
      </c>
      <c r="AQ117" s="552">
        <v>1</v>
      </c>
      <c r="AR117" s="552">
        <v>1</v>
      </c>
      <c r="AS117" s="552">
        <v>1</v>
      </c>
      <c r="AT117" s="552">
        <v>1</v>
      </c>
      <c r="AU117" s="552">
        <v>1</v>
      </c>
      <c r="AV117" s="553" t="str">
        <f>IF(H117="YES","'"&amp;INDEX('Structure Groups'!$C$12:$C$14,MATCH('Load Criteria'!$B$5,'Structure Groups'!$B$12:$B$14,0),1)&amp;"'","'All'")</f>
        <v>'GL Max 800m'</v>
      </c>
      <c r="AW117" s="552" t="s">
        <v>562</v>
      </c>
      <c r="AX117" s="552"/>
      <c r="AY117" s="552" t="str">
        <f t="shared" si="32"/>
        <v>Yes</v>
      </c>
      <c r="AZ117" s="554" t="str">
        <f t="shared" si="33"/>
        <v>Back Spans</v>
      </c>
      <c r="BA117" s="554" t="str">
        <f t="shared" si="24"/>
        <v>% Wire Wind Pressure</v>
      </c>
      <c r="BB117" s="552">
        <f t="shared" si="25"/>
        <v>75</v>
      </c>
      <c r="BC117" s="554"/>
      <c r="BD117" s="552"/>
      <c r="BE117" s="554"/>
      <c r="BF117" s="554"/>
      <c r="BG117" s="554"/>
      <c r="BH117" s="554"/>
      <c r="BI117" s="554"/>
      <c r="BJ117" s="554"/>
      <c r="BK117" s="554"/>
      <c r="BL117" s="554"/>
      <c r="BM117" s="554"/>
      <c r="BN117" s="554"/>
      <c r="BO117" s="554"/>
      <c r="BP117" s="554"/>
      <c r="BQ117" s="554"/>
      <c r="BR117" s="554"/>
      <c r="BS117" s="554"/>
      <c r="BT117" s="554"/>
      <c r="BU117" s="554"/>
      <c r="BV117" s="554"/>
      <c r="BW117" s="554"/>
      <c r="BX117" s="554"/>
      <c r="BY117" s="554"/>
      <c r="BZ117" s="554"/>
      <c r="CA117" s="554"/>
      <c r="CB117" s="554"/>
      <c r="CC117" s="554"/>
      <c r="CD117" s="554"/>
      <c r="CE117" s="554"/>
      <c r="CF117" s="554"/>
      <c r="CG117" s="554"/>
      <c r="CH117" s="554"/>
      <c r="CI117" s="554"/>
      <c r="CJ117" s="554"/>
      <c r="CK117" s="554"/>
      <c r="CL117" s="554"/>
      <c r="CM117" s="554"/>
      <c r="CN117" s="554"/>
      <c r="CO117" s="554"/>
      <c r="CP117" s="554"/>
      <c r="CQ117" s="554"/>
      <c r="CR117" s="554"/>
      <c r="CS117" s="554"/>
      <c r="CT117" s="554"/>
      <c r="CU117" s="554"/>
      <c r="CV117" s="554"/>
      <c r="CW117" s="554"/>
      <c r="CX117" s="554"/>
      <c r="CY117" s="554"/>
      <c r="CZ117" s="554"/>
      <c r="DA117" s="554"/>
      <c r="DB117" s="554"/>
      <c r="DC117" s="554"/>
      <c r="DD117" s="554"/>
      <c r="DE117" s="534"/>
      <c r="DF117" s="534"/>
      <c r="DG117" s="534"/>
    </row>
    <row r="118" spans="1:111" ht="15" x14ac:dyDescent="0.25">
      <c r="A118" s="549">
        <f>IF(Control!$D$5="Y","-",1)</f>
        <v>1</v>
      </c>
      <c r="B118" s="555" t="s">
        <v>558</v>
      </c>
      <c r="C118" s="555" t="s">
        <v>559</v>
      </c>
      <c r="D118" s="555" t="s">
        <v>563</v>
      </c>
      <c r="E118" s="556" t="s">
        <v>22</v>
      </c>
      <c r="F118" s="556" t="s">
        <v>22</v>
      </c>
      <c r="G118" s="556" t="str">
        <f>IFERROR(IF(MID('Load Criteria'!X118,FIND("_",'Load Criteria'!X118,1)+1,1)=LEFT(Control!$D$23,1),"YES","-"),"-")</f>
        <v>YES</v>
      </c>
      <c r="H118" s="549" t="str">
        <f>IF(INDEX('Weather Cases'!$G$10:$G$94,MATCH('Load Criteria'!X118,'Weather Cases'!$H$10:$H$94,0),1)="H","YES","")</f>
        <v>YES</v>
      </c>
      <c r="I118" s="557" t="s">
        <v>299</v>
      </c>
      <c r="J118" s="550">
        <f t="shared" si="31"/>
        <v>300</v>
      </c>
      <c r="K118" s="550" t="s">
        <v>60</v>
      </c>
      <c r="L118" s="550" t="s">
        <v>40</v>
      </c>
      <c r="M118" s="550"/>
      <c r="N118" s="550"/>
      <c r="O118" s="550"/>
      <c r="P118" s="392"/>
      <c r="Q118" s="392"/>
      <c r="R118" s="392"/>
      <c r="S118" s="392"/>
      <c r="T118" s="392"/>
      <c r="U118" s="550" t="str">
        <f t="shared" si="36"/>
        <v>BI-</v>
      </c>
      <c r="V118" s="560">
        <f t="shared" si="36"/>
        <v>0</v>
      </c>
      <c r="W118" s="542" t="str">
        <f t="shared" si="15"/>
        <v>MW0300_A8+DB BI-+00</v>
      </c>
      <c r="X118" s="552" t="str">
        <f>I118&amp;TEXT(J118,"0000")&amp;"_"&amp;LEFT(Control!$D$23,1)&amp;LEFT(Control!$D$22,LEN(Control!$D$22)-2)</f>
        <v>MW0300_A8</v>
      </c>
      <c r="Y118" s="552" t="s">
        <v>433</v>
      </c>
      <c r="Z118" s="552" t="str">
        <f t="shared" si="34"/>
        <v>BI-</v>
      </c>
      <c r="AA118" s="552">
        <f t="shared" si="35"/>
        <v>0</v>
      </c>
      <c r="AB118" s="552">
        <v>1</v>
      </c>
      <c r="AC118" s="552">
        <v>1</v>
      </c>
      <c r="AD118" s="552">
        <v>1</v>
      </c>
      <c r="AE118" s="552">
        <v>1</v>
      </c>
      <c r="AF118" s="552">
        <v>1</v>
      </c>
      <c r="AG118" s="542" t="s">
        <v>561</v>
      </c>
      <c r="AH118" s="552">
        <v>0</v>
      </c>
      <c r="AI118" s="552">
        <v>0</v>
      </c>
      <c r="AJ118" s="552">
        <v>1</v>
      </c>
      <c r="AK118" s="552">
        <v>1</v>
      </c>
      <c r="AL118" s="552">
        <v>1</v>
      </c>
      <c r="AM118" s="552">
        <v>0</v>
      </c>
      <c r="AN118" s="552">
        <v>0</v>
      </c>
      <c r="AO118" s="552">
        <v>1</v>
      </c>
      <c r="AP118" s="552">
        <v>1</v>
      </c>
      <c r="AQ118" s="552">
        <v>1</v>
      </c>
      <c r="AR118" s="552">
        <v>1</v>
      </c>
      <c r="AS118" s="552">
        <v>1</v>
      </c>
      <c r="AT118" s="552">
        <v>1</v>
      </c>
      <c r="AU118" s="552">
        <v>1</v>
      </c>
      <c r="AV118" s="553" t="str">
        <f>IF(H118="YES","'"&amp;INDEX('Structure Groups'!$C$12:$C$14,MATCH('Load Criteria'!$B$5,'Structure Groups'!$B$12:$B$14,0),1)&amp;"'","'All'")</f>
        <v>'GL Max 800m'</v>
      </c>
      <c r="AW118" s="552" t="s">
        <v>562</v>
      </c>
      <c r="AX118" s="552"/>
      <c r="AY118" s="552" t="str">
        <f t="shared" si="32"/>
        <v>Yes</v>
      </c>
      <c r="AZ118" s="554" t="str">
        <f t="shared" si="33"/>
        <v>Back Spans</v>
      </c>
      <c r="BA118" s="554" t="str">
        <f t="shared" si="24"/>
        <v>% Wire Wind Pressure</v>
      </c>
      <c r="BB118" s="552">
        <f t="shared" si="25"/>
        <v>75</v>
      </c>
      <c r="BC118" s="554"/>
      <c r="BD118" s="552"/>
      <c r="BE118" s="554"/>
      <c r="BF118" s="554"/>
      <c r="BG118" s="554"/>
      <c r="BH118" s="554"/>
      <c r="BI118" s="554"/>
      <c r="BJ118" s="554"/>
      <c r="BK118" s="554"/>
      <c r="BL118" s="554"/>
      <c r="BM118" s="554"/>
      <c r="BN118" s="554"/>
      <c r="BO118" s="554"/>
      <c r="BP118" s="554"/>
      <c r="BQ118" s="554"/>
      <c r="BR118" s="554"/>
      <c r="BS118" s="554"/>
      <c r="BT118" s="554"/>
      <c r="BU118" s="554"/>
      <c r="BV118" s="554"/>
      <c r="BW118" s="554"/>
      <c r="BX118" s="554"/>
      <c r="BY118" s="554"/>
      <c r="BZ118" s="554"/>
      <c r="CA118" s="554"/>
      <c r="CB118" s="554"/>
      <c r="CC118" s="554"/>
      <c r="CD118" s="554"/>
      <c r="CE118" s="554"/>
      <c r="CF118" s="554"/>
      <c r="CG118" s="554"/>
      <c r="CH118" s="554"/>
      <c r="CI118" s="554"/>
      <c r="CJ118" s="554"/>
      <c r="CK118" s="554"/>
      <c r="CL118" s="554"/>
      <c r="CM118" s="554"/>
      <c r="CN118" s="554"/>
      <c r="CO118" s="554"/>
      <c r="CP118" s="554"/>
      <c r="CQ118" s="554"/>
      <c r="CR118" s="554"/>
      <c r="CS118" s="554"/>
      <c r="CT118" s="554"/>
      <c r="CU118" s="554"/>
      <c r="CV118" s="554"/>
      <c r="CW118" s="554"/>
      <c r="CX118" s="554"/>
      <c r="CY118" s="554"/>
      <c r="CZ118" s="554"/>
      <c r="DA118" s="554"/>
      <c r="DB118" s="554"/>
      <c r="DC118" s="554"/>
      <c r="DD118" s="554"/>
      <c r="DE118" s="534"/>
      <c r="DF118" s="534"/>
      <c r="DG118" s="534"/>
    </row>
    <row r="119" spans="1:111" ht="15" x14ac:dyDescent="0.25">
      <c r="A119" s="549">
        <f>IF(Control!$D$5="Y","-",1)</f>
        <v>1</v>
      </c>
      <c r="B119" s="555" t="s">
        <v>558</v>
      </c>
      <c r="C119" s="555" t="s">
        <v>559</v>
      </c>
      <c r="D119" s="555" t="s">
        <v>563</v>
      </c>
      <c r="E119" s="556" t="s">
        <v>22</v>
      </c>
      <c r="F119" s="556" t="s">
        <v>22</v>
      </c>
      <c r="G119" s="556" t="str">
        <f>IFERROR(IF(MID('Load Criteria'!X119,FIND("_",'Load Criteria'!X119,1)+1,1)=LEFT(Control!$D$23,1),"YES","-"),"-")</f>
        <v>YES</v>
      </c>
      <c r="H119" s="549" t="str">
        <f>IF(INDEX('Weather Cases'!$G$10:$G$94,MATCH('Load Criteria'!X119,'Weather Cases'!$H$10:$H$94,0),1)="H","YES","")</f>
        <v>YES</v>
      </c>
      <c r="I119" s="557" t="s">
        <v>299</v>
      </c>
      <c r="J119" s="550">
        <f t="shared" si="31"/>
        <v>300</v>
      </c>
      <c r="K119" s="550" t="s">
        <v>60</v>
      </c>
      <c r="L119" s="550" t="s">
        <v>40</v>
      </c>
      <c r="M119" s="550"/>
      <c r="N119" s="550"/>
      <c r="O119" s="550"/>
      <c r="P119" s="392"/>
      <c r="Q119" s="392"/>
      <c r="R119" s="392"/>
      <c r="S119" s="392"/>
      <c r="T119" s="392"/>
      <c r="U119" s="550" t="str">
        <f t="shared" si="36"/>
        <v>BI-</v>
      </c>
      <c r="V119" s="560">
        <f t="shared" si="36"/>
        <v>-15</v>
      </c>
      <c r="W119" s="542" t="str">
        <f t="shared" si="15"/>
        <v>MW0300_A8+DB BI--15</v>
      </c>
      <c r="X119" s="552" t="str">
        <f>I119&amp;TEXT(J119,"0000")&amp;"_"&amp;LEFT(Control!$D$23,1)&amp;LEFT(Control!$D$22,LEN(Control!$D$22)-2)</f>
        <v>MW0300_A8</v>
      </c>
      <c r="Y119" s="552" t="s">
        <v>433</v>
      </c>
      <c r="Z119" s="552" t="str">
        <f t="shared" si="34"/>
        <v>BI-</v>
      </c>
      <c r="AA119" s="552">
        <f t="shared" si="35"/>
        <v>-15</v>
      </c>
      <c r="AB119" s="552">
        <v>1</v>
      </c>
      <c r="AC119" s="552">
        <v>1</v>
      </c>
      <c r="AD119" s="552">
        <v>1</v>
      </c>
      <c r="AE119" s="552">
        <v>1</v>
      </c>
      <c r="AF119" s="552">
        <v>1</v>
      </c>
      <c r="AG119" s="542" t="s">
        <v>561</v>
      </c>
      <c r="AH119" s="552">
        <v>0</v>
      </c>
      <c r="AI119" s="552">
        <v>0</v>
      </c>
      <c r="AJ119" s="552">
        <v>1</v>
      </c>
      <c r="AK119" s="552">
        <v>1</v>
      </c>
      <c r="AL119" s="552">
        <v>1</v>
      </c>
      <c r="AM119" s="552">
        <v>0</v>
      </c>
      <c r="AN119" s="552">
        <v>0</v>
      </c>
      <c r="AO119" s="552">
        <v>1</v>
      </c>
      <c r="AP119" s="552">
        <v>1</v>
      </c>
      <c r="AQ119" s="552">
        <v>1</v>
      </c>
      <c r="AR119" s="552">
        <v>1</v>
      </c>
      <c r="AS119" s="552">
        <v>1</v>
      </c>
      <c r="AT119" s="552">
        <v>1</v>
      </c>
      <c r="AU119" s="552">
        <v>1</v>
      </c>
      <c r="AV119" s="553" t="str">
        <f>IF(H119="YES","'"&amp;INDEX('Structure Groups'!$C$12:$C$14,MATCH('Load Criteria'!$B$5,'Structure Groups'!$B$12:$B$14,0),1)&amp;"'","'All'")</f>
        <v>'GL Max 800m'</v>
      </c>
      <c r="AW119" s="552" t="s">
        <v>562</v>
      </c>
      <c r="AX119" s="552"/>
      <c r="AY119" s="552" t="str">
        <f t="shared" si="32"/>
        <v>Yes</v>
      </c>
      <c r="AZ119" s="554" t="str">
        <f t="shared" si="33"/>
        <v>Back Spans</v>
      </c>
      <c r="BA119" s="554" t="str">
        <f t="shared" si="24"/>
        <v>% Wire Wind Pressure</v>
      </c>
      <c r="BB119" s="552">
        <f t="shared" si="25"/>
        <v>75</v>
      </c>
      <c r="BC119" s="554"/>
      <c r="BD119" s="552"/>
      <c r="BE119" s="554"/>
      <c r="BF119" s="554"/>
      <c r="BG119" s="554"/>
      <c r="BH119" s="554"/>
      <c r="BI119" s="554"/>
      <c r="BJ119" s="554"/>
      <c r="BK119" s="554"/>
      <c r="BL119" s="554"/>
      <c r="BM119" s="554"/>
      <c r="BN119" s="554"/>
      <c r="BO119" s="554"/>
      <c r="BP119" s="554"/>
      <c r="BQ119" s="554"/>
      <c r="BR119" s="554"/>
      <c r="BS119" s="554"/>
      <c r="BT119" s="554"/>
      <c r="BU119" s="554"/>
      <c r="BV119" s="554"/>
      <c r="BW119" s="554"/>
      <c r="BX119" s="554"/>
      <c r="BY119" s="554"/>
      <c r="BZ119" s="554"/>
      <c r="CA119" s="554"/>
      <c r="CB119" s="554"/>
      <c r="CC119" s="554"/>
      <c r="CD119" s="554"/>
      <c r="CE119" s="554"/>
      <c r="CF119" s="554"/>
      <c r="CG119" s="554"/>
      <c r="CH119" s="554"/>
      <c r="CI119" s="554"/>
      <c r="CJ119" s="554"/>
      <c r="CK119" s="554"/>
      <c r="CL119" s="554"/>
      <c r="CM119" s="554"/>
      <c r="CN119" s="554"/>
      <c r="CO119" s="554"/>
      <c r="CP119" s="554"/>
      <c r="CQ119" s="554"/>
      <c r="CR119" s="554"/>
      <c r="CS119" s="554"/>
      <c r="CT119" s="554"/>
      <c r="CU119" s="554"/>
      <c r="CV119" s="554"/>
      <c r="CW119" s="554"/>
      <c r="CX119" s="554"/>
      <c r="CY119" s="554"/>
      <c r="CZ119" s="554"/>
      <c r="DA119" s="554"/>
      <c r="DB119" s="554"/>
      <c r="DC119" s="554"/>
      <c r="DD119" s="554"/>
      <c r="DE119" s="534"/>
      <c r="DF119" s="534"/>
      <c r="DG119" s="534"/>
    </row>
    <row r="120" spans="1:111" ht="15" x14ac:dyDescent="0.25">
      <c r="A120" s="549">
        <f>IF(Control!$D$5="Y","-",1)</f>
        <v>1</v>
      </c>
      <c r="B120" s="555" t="s">
        <v>558</v>
      </c>
      <c r="C120" s="555" t="s">
        <v>559</v>
      </c>
      <c r="D120" s="555" t="s">
        <v>563</v>
      </c>
      <c r="E120" s="556" t="s">
        <v>22</v>
      </c>
      <c r="F120" s="556" t="s">
        <v>22</v>
      </c>
      <c r="G120" s="556" t="str">
        <f>IFERROR(IF(MID('Load Criteria'!X120,FIND("_",'Load Criteria'!X120,1)+1,1)=LEFT(Control!$D$23,1),"YES","-"),"-")</f>
        <v>YES</v>
      </c>
      <c r="H120" s="549" t="str">
        <f>IF(INDEX('Weather Cases'!$G$10:$G$94,MATCH('Load Criteria'!X120,'Weather Cases'!$H$10:$H$94,0),1)="H","YES","")</f>
        <v>YES</v>
      </c>
      <c r="I120" s="557" t="s">
        <v>299</v>
      </c>
      <c r="J120" s="550">
        <f t="shared" si="31"/>
        <v>300</v>
      </c>
      <c r="K120" s="550" t="s">
        <v>60</v>
      </c>
      <c r="L120" s="550" t="s">
        <v>40</v>
      </c>
      <c r="M120" s="550"/>
      <c r="N120" s="550"/>
      <c r="O120" s="550"/>
      <c r="P120" s="392"/>
      <c r="Q120" s="392"/>
      <c r="R120" s="392"/>
      <c r="S120" s="392"/>
      <c r="T120" s="392"/>
      <c r="U120" s="550" t="str">
        <f t="shared" si="36"/>
        <v>BI-</v>
      </c>
      <c r="V120" s="560">
        <f t="shared" si="36"/>
        <v>-30</v>
      </c>
      <c r="W120" s="542" t="str">
        <f t="shared" si="15"/>
        <v>MW0300_A8+DB BI--30</v>
      </c>
      <c r="X120" s="552" t="str">
        <f>I120&amp;TEXT(J120,"0000")&amp;"_"&amp;LEFT(Control!$D$23,1)&amp;LEFT(Control!$D$22,LEN(Control!$D$22)-2)</f>
        <v>MW0300_A8</v>
      </c>
      <c r="Y120" s="552" t="s">
        <v>433</v>
      </c>
      <c r="Z120" s="552" t="str">
        <f t="shared" si="34"/>
        <v>BI-</v>
      </c>
      <c r="AA120" s="552">
        <f t="shared" si="35"/>
        <v>-30</v>
      </c>
      <c r="AB120" s="552">
        <v>1</v>
      </c>
      <c r="AC120" s="552">
        <v>1</v>
      </c>
      <c r="AD120" s="552">
        <v>1</v>
      </c>
      <c r="AE120" s="552">
        <v>1</v>
      </c>
      <c r="AF120" s="552">
        <v>1</v>
      </c>
      <c r="AG120" s="542" t="s">
        <v>561</v>
      </c>
      <c r="AH120" s="552">
        <v>0</v>
      </c>
      <c r="AI120" s="552">
        <v>0</v>
      </c>
      <c r="AJ120" s="552">
        <v>1</v>
      </c>
      <c r="AK120" s="552">
        <v>1</v>
      </c>
      <c r="AL120" s="552">
        <v>1</v>
      </c>
      <c r="AM120" s="552">
        <v>0</v>
      </c>
      <c r="AN120" s="552">
        <v>0</v>
      </c>
      <c r="AO120" s="552">
        <v>1</v>
      </c>
      <c r="AP120" s="552">
        <v>1</v>
      </c>
      <c r="AQ120" s="552">
        <v>1</v>
      </c>
      <c r="AR120" s="552">
        <v>1</v>
      </c>
      <c r="AS120" s="552">
        <v>1</v>
      </c>
      <c r="AT120" s="552">
        <v>1</v>
      </c>
      <c r="AU120" s="552">
        <v>1</v>
      </c>
      <c r="AV120" s="553" t="str">
        <f>IF(H120="YES","'"&amp;INDEX('Structure Groups'!$C$12:$C$14,MATCH('Load Criteria'!$B$5,'Structure Groups'!$B$12:$B$14,0),1)&amp;"'","'All'")</f>
        <v>'GL Max 800m'</v>
      </c>
      <c r="AW120" s="552" t="s">
        <v>562</v>
      </c>
      <c r="AX120" s="552"/>
      <c r="AY120" s="552" t="str">
        <f t="shared" si="32"/>
        <v>Yes</v>
      </c>
      <c r="AZ120" s="554" t="str">
        <f t="shared" si="33"/>
        <v>Back Spans</v>
      </c>
      <c r="BA120" s="554" t="str">
        <f t="shared" si="24"/>
        <v>% Wire Wind Pressure</v>
      </c>
      <c r="BB120" s="552">
        <f t="shared" si="25"/>
        <v>75</v>
      </c>
      <c r="BC120" s="554"/>
      <c r="BD120" s="552"/>
      <c r="BE120" s="554"/>
      <c r="BF120" s="554"/>
      <c r="BG120" s="554"/>
      <c r="BH120" s="554"/>
      <c r="BI120" s="554"/>
      <c r="BJ120" s="554"/>
      <c r="BK120" s="554"/>
      <c r="BL120" s="554"/>
      <c r="BM120" s="554"/>
      <c r="BN120" s="554"/>
      <c r="BO120" s="554"/>
      <c r="BP120" s="554"/>
      <c r="BQ120" s="554"/>
      <c r="BR120" s="554"/>
      <c r="BS120" s="554"/>
      <c r="BT120" s="554"/>
      <c r="BU120" s="554"/>
      <c r="BV120" s="554"/>
      <c r="BW120" s="554"/>
      <c r="BX120" s="554"/>
      <c r="BY120" s="554"/>
      <c r="BZ120" s="554"/>
      <c r="CA120" s="554"/>
      <c r="CB120" s="554"/>
      <c r="CC120" s="554"/>
      <c r="CD120" s="554"/>
      <c r="CE120" s="554"/>
      <c r="CF120" s="554"/>
      <c r="CG120" s="554"/>
      <c r="CH120" s="554"/>
      <c r="CI120" s="554"/>
      <c r="CJ120" s="554"/>
      <c r="CK120" s="554"/>
      <c r="CL120" s="554"/>
      <c r="CM120" s="554"/>
      <c r="CN120" s="554"/>
      <c r="CO120" s="554"/>
      <c r="CP120" s="554"/>
      <c r="CQ120" s="554"/>
      <c r="CR120" s="554"/>
      <c r="CS120" s="554"/>
      <c r="CT120" s="554"/>
      <c r="CU120" s="554"/>
      <c r="CV120" s="554"/>
      <c r="CW120" s="554"/>
      <c r="CX120" s="554"/>
      <c r="CY120" s="554"/>
      <c r="CZ120" s="554"/>
      <c r="DA120" s="554"/>
      <c r="DB120" s="554"/>
      <c r="DC120" s="554"/>
      <c r="DD120" s="554"/>
      <c r="DE120" s="534"/>
      <c r="DF120" s="534"/>
      <c r="DG120" s="534"/>
    </row>
    <row r="121" spans="1:111" ht="15" x14ac:dyDescent="0.25">
      <c r="A121" s="549">
        <f>IF(Control!$D$5="Y","-",1)</f>
        <v>1</v>
      </c>
      <c r="B121" s="555" t="s">
        <v>558</v>
      </c>
      <c r="C121" s="555" t="s">
        <v>559</v>
      </c>
      <c r="D121" s="555" t="s">
        <v>563</v>
      </c>
      <c r="E121" s="556" t="s">
        <v>22</v>
      </c>
      <c r="F121" s="556" t="s">
        <v>22</v>
      </c>
      <c r="G121" s="556" t="str">
        <f>IFERROR(IF(MID('Load Criteria'!X121,FIND("_",'Load Criteria'!X121,1)+1,1)=LEFT(Control!$D$23,1),"YES","-"),"-")</f>
        <v>YES</v>
      </c>
      <c r="H121" s="549" t="str">
        <f>IF(INDEX('Weather Cases'!$G$10:$G$94,MATCH('Load Criteria'!X121,'Weather Cases'!$H$10:$H$94,0),1)="H","YES","")</f>
        <v>YES</v>
      </c>
      <c r="I121" s="557" t="s">
        <v>299</v>
      </c>
      <c r="J121" s="550">
        <f t="shared" si="31"/>
        <v>300</v>
      </c>
      <c r="K121" s="550" t="s">
        <v>60</v>
      </c>
      <c r="L121" s="550" t="s">
        <v>40</v>
      </c>
      <c r="M121" s="550"/>
      <c r="N121" s="550"/>
      <c r="O121" s="550"/>
      <c r="P121" s="392"/>
      <c r="Q121" s="392"/>
      <c r="R121" s="392"/>
      <c r="S121" s="392"/>
      <c r="T121" s="392"/>
      <c r="U121" s="550" t="str">
        <f t="shared" si="36"/>
        <v>BI-</v>
      </c>
      <c r="V121" s="560">
        <f t="shared" si="36"/>
        <v>-45</v>
      </c>
      <c r="W121" s="542" t="str">
        <f t="shared" si="15"/>
        <v>MW0300_A8+DB BI--45</v>
      </c>
      <c r="X121" s="552" t="str">
        <f>I121&amp;TEXT(J121,"0000")&amp;"_"&amp;LEFT(Control!$D$23,1)&amp;LEFT(Control!$D$22,LEN(Control!$D$22)-2)</f>
        <v>MW0300_A8</v>
      </c>
      <c r="Y121" s="552" t="s">
        <v>433</v>
      </c>
      <c r="Z121" s="552" t="str">
        <f t="shared" si="34"/>
        <v>BI-</v>
      </c>
      <c r="AA121" s="552">
        <f t="shared" si="35"/>
        <v>-45</v>
      </c>
      <c r="AB121" s="552">
        <v>1</v>
      </c>
      <c r="AC121" s="552">
        <v>1</v>
      </c>
      <c r="AD121" s="552">
        <v>1</v>
      </c>
      <c r="AE121" s="552">
        <v>1</v>
      </c>
      <c r="AF121" s="552">
        <v>1</v>
      </c>
      <c r="AG121" s="542" t="s">
        <v>561</v>
      </c>
      <c r="AH121" s="552">
        <v>0</v>
      </c>
      <c r="AI121" s="552">
        <v>0</v>
      </c>
      <c r="AJ121" s="552">
        <v>1</v>
      </c>
      <c r="AK121" s="552">
        <v>1</v>
      </c>
      <c r="AL121" s="552">
        <v>1</v>
      </c>
      <c r="AM121" s="552">
        <v>0</v>
      </c>
      <c r="AN121" s="552">
        <v>0</v>
      </c>
      <c r="AO121" s="552">
        <v>1</v>
      </c>
      <c r="AP121" s="552">
        <v>1</v>
      </c>
      <c r="AQ121" s="552">
        <v>1</v>
      </c>
      <c r="AR121" s="552">
        <v>1</v>
      </c>
      <c r="AS121" s="552">
        <v>1</v>
      </c>
      <c r="AT121" s="552">
        <v>1</v>
      </c>
      <c r="AU121" s="552">
        <v>1</v>
      </c>
      <c r="AV121" s="553" t="str">
        <f>IF(H121="YES","'"&amp;INDEX('Structure Groups'!$C$12:$C$14,MATCH('Load Criteria'!$B$5,'Structure Groups'!$B$12:$B$14,0),1)&amp;"'","'All'")</f>
        <v>'GL Max 800m'</v>
      </c>
      <c r="AW121" s="552" t="s">
        <v>562</v>
      </c>
      <c r="AX121" s="552"/>
      <c r="AY121" s="552" t="str">
        <f t="shared" si="32"/>
        <v>Yes</v>
      </c>
      <c r="AZ121" s="554" t="str">
        <f t="shared" si="33"/>
        <v>Back Spans</v>
      </c>
      <c r="BA121" s="554" t="str">
        <f t="shared" si="24"/>
        <v>% Wire Wind Pressure</v>
      </c>
      <c r="BB121" s="552">
        <f t="shared" si="25"/>
        <v>75</v>
      </c>
      <c r="BC121" s="554"/>
      <c r="BD121" s="552"/>
      <c r="BE121" s="554"/>
      <c r="BF121" s="554"/>
      <c r="BG121" s="554"/>
      <c r="BH121" s="554"/>
      <c r="BI121" s="554"/>
      <c r="BJ121" s="554"/>
      <c r="BK121" s="554"/>
      <c r="BL121" s="554"/>
      <c r="BM121" s="554"/>
      <c r="BN121" s="554"/>
      <c r="BO121" s="554"/>
      <c r="BP121" s="554"/>
      <c r="BQ121" s="554"/>
      <c r="BR121" s="554"/>
      <c r="BS121" s="554"/>
      <c r="BT121" s="554"/>
      <c r="BU121" s="554"/>
      <c r="BV121" s="554"/>
      <c r="BW121" s="554"/>
      <c r="BX121" s="554"/>
      <c r="BY121" s="554"/>
      <c r="BZ121" s="554"/>
      <c r="CA121" s="554"/>
      <c r="CB121" s="554"/>
      <c r="CC121" s="554"/>
      <c r="CD121" s="554"/>
      <c r="CE121" s="554"/>
      <c r="CF121" s="554"/>
      <c r="CG121" s="554"/>
      <c r="CH121" s="554"/>
      <c r="CI121" s="554"/>
      <c r="CJ121" s="554"/>
      <c r="CK121" s="554"/>
      <c r="CL121" s="554"/>
      <c r="CM121" s="554"/>
      <c r="CN121" s="554"/>
      <c r="CO121" s="554"/>
      <c r="CP121" s="554"/>
      <c r="CQ121" s="554"/>
      <c r="CR121" s="554"/>
      <c r="CS121" s="554"/>
      <c r="CT121" s="554"/>
      <c r="CU121" s="554"/>
      <c r="CV121" s="554"/>
      <c r="CW121" s="554"/>
      <c r="CX121" s="554"/>
      <c r="CY121" s="554"/>
      <c r="CZ121" s="554"/>
      <c r="DA121" s="554"/>
      <c r="DB121" s="554"/>
      <c r="DC121" s="554"/>
      <c r="DD121" s="554"/>
      <c r="DE121" s="534"/>
      <c r="DF121" s="534"/>
      <c r="DG121" s="534"/>
    </row>
    <row r="122" spans="1:111" ht="15" x14ac:dyDescent="0.25">
      <c r="A122" s="549">
        <f>IF(Control!$D$5="Y","-",1)</f>
        <v>1</v>
      </c>
      <c r="B122" s="555" t="s">
        <v>558</v>
      </c>
      <c r="C122" s="555" t="s">
        <v>559</v>
      </c>
      <c r="D122" s="555" t="s">
        <v>563</v>
      </c>
      <c r="E122" s="556" t="s">
        <v>22</v>
      </c>
      <c r="F122" s="556" t="s">
        <v>22</v>
      </c>
      <c r="G122" s="556" t="str">
        <f>IFERROR(IF(MID('Load Criteria'!X122,FIND("_",'Load Criteria'!X122,1)+1,1)=LEFT(Control!$D$23,1),"YES","-"),"-")</f>
        <v>YES</v>
      </c>
      <c r="H122" s="549" t="str">
        <f>IF(INDEX('Weather Cases'!$G$10:$G$94,MATCH('Load Criteria'!X122,'Weather Cases'!$H$10:$H$94,0),1)="H","YES","")</f>
        <v>YES</v>
      </c>
      <c r="I122" s="557" t="s">
        <v>299</v>
      </c>
      <c r="J122" s="550">
        <f t="shared" si="31"/>
        <v>300</v>
      </c>
      <c r="K122" s="550" t="s">
        <v>60</v>
      </c>
      <c r="L122" s="550" t="s">
        <v>40</v>
      </c>
      <c r="M122" s="550"/>
      <c r="N122" s="550"/>
      <c r="O122" s="550"/>
      <c r="P122" s="392"/>
      <c r="Q122" s="392"/>
      <c r="R122" s="392"/>
      <c r="S122" s="392"/>
      <c r="T122" s="392"/>
      <c r="U122" s="550" t="str">
        <f t="shared" si="36"/>
        <v>BI-</v>
      </c>
      <c r="V122" s="560">
        <f t="shared" si="36"/>
        <v>-90</v>
      </c>
      <c r="W122" s="542" t="str">
        <f t="shared" si="15"/>
        <v>MW0300_A8+DB BI--90</v>
      </c>
      <c r="X122" s="552" t="str">
        <f>I122&amp;TEXT(J122,"0000")&amp;"_"&amp;LEFT(Control!$D$23,1)&amp;LEFT(Control!$D$22,LEN(Control!$D$22)-2)</f>
        <v>MW0300_A8</v>
      </c>
      <c r="Y122" s="552" t="s">
        <v>433</v>
      </c>
      <c r="Z122" s="552" t="str">
        <f t="shared" si="34"/>
        <v>BI-</v>
      </c>
      <c r="AA122" s="552">
        <f t="shared" si="35"/>
        <v>-90</v>
      </c>
      <c r="AB122" s="552">
        <v>1</v>
      </c>
      <c r="AC122" s="552">
        <v>1</v>
      </c>
      <c r="AD122" s="552">
        <v>1</v>
      </c>
      <c r="AE122" s="552">
        <v>1</v>
      </c>
      <c r="AF122" s="552">
        <v>1</v>
      </c>
      <c r="AG122" s="542" t="s">
        <v>561</v>
      </c>
      <c r="AH122" s="552">
        <v>0</v>
      </c>
      <c r="AI122" s="552">
        <v>0</v>
      </c>
      <c r="AJ122" s="552">
        <v>1</v>
      </c>
      <c r="AK122" s="552">
        <v>1</v>
      </c>
      <c r="AL122" s="552">
        <v>1</v>
      </c>
      <c r="AM122" s="552">
        <v>0</v>
      </c>
      <c r="AN122" s="552">
        <v>0</v>
      </c>
      <c r="AO122" s="552">
        <v>1</v>
      </c>
      <c r="AP122" s="552">
        <v>1</v>
      </c>
      <c r="AQ122" s="552">
        <v>1</v>
      </c>
      <c r="AR122" s="552">
        <v>1</v>
      </c>
      <c r="AS122" s="552">
        <v>1</v>
      </c>
      <c r="AT122" s="552">
        <v>1</v>
      </c>
      <c r="AU122" s="552">
        <v>1</v>
      </c>
      <c r="AV122" s="553" t="str">
        <f>IF(H122="YES","'"&amp;INDEX('Structure Groups'!$C$12:$C$14,MATCH('Load Criteria'!$B$5,'Structure Groups'!$B$12:$B$14,0),1)&amp;"'","'All'")</f>
        <v>'GL Max 800m'</v>
      </c>
      <c r="AW122" s="552" t="s">
        <v>562</v>
      </c>
      <c r="AX122" s="552"/>
      <c r="AY122" s="552" t="str">
        <f t="shared" si="32"/>
        <v>Yes</v>
      </c>
      <c r="AZ122" s="554" t="str">
        <f t="shared" si="33"/>
        <v>Back Spans</v>
      </c>
      <c r="BA122" s="554" t="str">
        <f>IF(AZ122="","","% Wire Wind Pressure")</f>
        <v>% Wire Wind Pressure</v>
      </c>
      <c r="BB122" s="552">
        <f>IF(AZ122="","",75)</f>
        <v>75</v>
      </c>
      <c r="BC122" s="554"/>
      <c r="BD122" s="552"/>
      <c r="BE122" s="554"/>
      <c r="BF122" s="554"/>
      <c r="BG122" s="554"/>
      <c r="BH122" s="554"/>
      <c r="BI122" s="554"/>
      <c r="BJ122" s="554"/>
      <c r="BK122" s="554"/>
      <c r="BL122" s="554"/>
      <c r="BM122" s="554"/>
      <c r="BN122" s="554"/>
      <c r="BO122" s="554"/>
      <c r="BP122" s="554"/>
      <c r="BQ122" s="554"/>
      <c r="BR122" s="554"/>
      <c r="BS122" s="554"/>
      <c r="BT122" s="554"/>
      <c r="BU122" s="554"/>
      <c r="BV122" s="554"/>
      <c r="BW122" s="554"/>
      <c r="BX122" s="554"/>
      <c r="BY122" s="554"/>
      <c r="BZ122" s="554"/>
      <c r="CA122" s="554"/>
      <c r="CB122" s="554"/>
      <c r="CC122" s="554"/>
      <c r="CD122" s="554"/>
      <c r="CE122" s="554"/>
      <c r="CF122" s="554"/>
      <c r="CG122" s="554"/>
      <c r="CH122" s="554"/>
      <c r="CI122" s="554"/>
      <c r="CJ122" s="554"/>
      <c r="CK122" s="554"/>
      <c r="CL122" s="554"/>
      <c r="CM122" s="554"/>
      <c r="CN122" s="554"/>
      <c r="CO122" s="554"/>
      <c r="CP122" s="554"/>
      <c r="CQ122" s="554"/>
      <c r="CR122" s="554"/>
      <c r="CS122" s="554"/>
      <c r="CT122" s="554"/>
      <c r="CU122" s="554"/>
      <c r="CV122" s="554"/>
      <c r="CW122" s="554"/>
      <c r="CX122" s="554"/>
      <c r="CY122" s="554"/>
      <c r="CZ122" s="554"/>
      <c r="DA122" s="554"/>
      <c r="DB122" s="554"/>
      <c r="DC122" s="554"/>
      <c r="DD122" s="554"/>
      <c r="DE122" s="534"/>
      <c r="DF122" s="534"/>
      <c r="DG122" s="534"/>
    </row>
    <row r="123" spans="1:111" ht="15" x14ac:dyDescent="0.25">
      <c r="A123" s="549">
        <f>IF(Control!$D$5="Y","-",1)</f>
        <v>1</v>
      </c>
      <c r="B123" s="555" t="s">
        <v>558</v>
      </c>
      <c r="C123" s="555" t="s">
        <v>559</v>
      </c>
      <c r="D123" s="555" t="s">
        <v>563</v>
      </c>
      <c r="E123" s="556" t="s">
        <v>22</v>
      </c>
      <c r="F123" s="556" t="s">
        <v>22</v>
      </c>
      <c r="G123" s="556" t="str">
        <f>IFERROR(IF(MID('Load Criteria'!X123,FIND("_",'Load Criteria'!X123,1)+1,1)=LEFT(Control!$D$23,1),"YES","-"),"-")</f>
        <v>YES</v>
      </c>
      <c r="H123" s="549" t="str">
        <f>IF(INDEX('Weather Cases'!$G$10:$G$94,MATCH('Load Criteria'!X123,'Weather Cases'!$H$10:$H$94,0),1)="H","YES","")</f>
        <v>YES</v>
      </c>
      <c r="I123" s="595" t="s">
        <v>299</v>
      </c>
      <c r="J123" s="596">
        <v>2500</v>
      </c>
      <c r="K123" s="596" t="s">
        <v>88</v>
      </c>
      <c r="L123" s="252"/>
      <c r="M123" s="252"/>
      <c r="N123" s="252"/>
      <c r="O123" s="252"/>
      <c r="P123" s="393"/>
      <c r="Q123" s="393"/>
      <c r="R123" s="393"/>
      <c r="S123" s="393"/>
      <c r="T123" s="393"/>
      <c r="U123" s="550" t="s">
        <v>564</v>
      </c>
      <c r="V123" s="551">
        <v>90</v>
      </c>
      <c r="W123" s="542" t="str">
        <f>X123&amp;"+"&amp;K123&amp;IF(L123="","",CONCATENATE(L123,M123,N123,O123))&amp;" "&amp;U123&amp;TEXT(V123,"+00;-00")</f>
        <v>MW2500_A8+E BI++90</v>
      </c>
      <c r="X123" s="552" t="str">
        <f>I123&amp;TEXT(J123,"0000")&amp;"_"&amp;LEFT(Control!$D$23,1)&amp;LEFT(Control!$D$22,LEN(Control!$D$22)-2)</f>
        <v>MW2500_A8</v>
      </c>
      <c r="Y123" s="552" t="s">
        <v>433</v>
      </c>
      <c r="Z123" s="552" t="str">
        <f t="shared" si="34"/>
        <v>BI+</v>
      </c>
      <c r="AA123" s="552">
        <f t="shared" si="35"/>
        <v>90</v>
      </c>
      <c r="AB123" s="552">
        <v>1</v>
      </c>
      <c r="AC123" s="552">
        <v>1</v>
      </c>
      <c r="AD123" s="552">
        <v>1</v>
      </c>
      <c r="AE123" s="552">
        <v>1</v>
      </c>
      <c r="AF123" s="552">
        <v>1</v>
      </c>
      <c r="AG123" s="542" t="s">
        <v>561</v>
      </c>
      <c r="AH123" s="552">
        <v>0</v>
      </c>
      <c r="AI123" s="552">
        <v>0</v>
      </c>
      <c r="AJ123" s="552">
        <v>1</v>
      </c>
      <c r="AK123" s="552">
        <v>1</v>
      </c>
      <c r="AL123" s="552">
        <v>1</v>
      </c>
      <c r="AM123" s="552">
        <v>0</v>
      </c>
      <c r="AN123" s="552">
        <v>0</v>
      </c>
      <c r="AO123" s="552">
        <v>1</v>
      </c>
      <c r="AP123" s="552">
        <v>1</v>
      </c>
      <c r="AQ123" s="552">
        <v>1</v>
      </c>
      <c r="AR123" s="552">
        <v>1</v>
      </c>
      <c r="AS123" s="552">
        <v>1</v>
      </c>
      <c r="AT123" s="552">
        <v>1</v>
      </c>
      <c r="AU123" s="552">
        <v>1</v>
      </c>
      <c r="AV123" s="553" t="str">
        <f>IF(H123="YES","'"&amp;INDEX('Structure Groups'!$C$12:$C$14,MATCH('Load Criteria'!$B$5,'Structure Groups'!$B$12:$B$14,0),1)&amp;"'","'All'")</f>
        <v>'GL Max 800m'</v>
      </c>
      <c r="AW123" s="552" t="s">
        <v>562</v>
      </c>
      <c r="AX123" s="558" t="s">
        <v>300</v>
      </c>
      <c r="AY123" s="552" t="str">
        <f t="shared" si="32"/>
        <v>No</v>
      </c>
      <c r="AZ123" s="554" t="str">
        <f t="shared" si="33"/>
        <v/>
      </c>
      <c r="BA123" s="554" t="str">
        <f t="shared" ref="BA123:BA131" si="37">IF(AZ123="","","% Wire Wind Pressure")</f>
        <v/>
      </c>
      <c r="BB123" s="552" t="str">
        <f t="shared" ref="BB123:BB131" si="38">IF(AZ123="","",75)</f>
        <v/>
      </c>
      <c r="BC123" s="559" t="s">
        <v>300</v>
      </c>
      <c r="BD123" s="559" t="s">
        <v>300</v>
      </c>
      <c r="BE123" s="559" t="s">
        <v>300</v>
      </c>
      <c r="BF123" s="559" t="s">
        <v>300</v>
      </c>
      <c r="BG123" s="559" t="s">
        <v>300</v>
      </c>
      <c r="BH123" s="559" t="s">
        <v>300</v>
      </c>
      <c r="BI123" s="559" t="s">
        <v>300</v>
      </c>
      <c r="BJ123" s="559" t="s">
        <v>300</v>
      </c>
      <c r="BK123" s="559" t="s">
        <v>300</v>
      </c>
      <c r="BL123" s="559" t="s">
        <v>300</v>
      </c>
      <c r="BM123" s="559" t="s">
        <v>300</v>
      </c>
      <c r="BN123" s="559" t="s">
        <v>300</v>
      </c>
      <c r="BO123" s="559" t="s">
        <v>300</v>
      </c>
      <c r="BP123" s="559" t="s">
        <v>300</v>
      </c>
      <c r="BQ123" s="559" t="s">
        <v>300</v>
      </c>
      <c r="BR123" s="559" t="s">
        <v>300</v>
      </c>
      <c r="BS123" s="559" t="s">
        <v>300</v>
      </c>
      <c r="BT123" s="559" t="s">
        <v>300</v>
      </c>
      <c r="BU123" s="559" t="s">
        <v>300</v>
      </c>
      <c r="BV123" s="559" t="s">
        <v>300</v>
      </c>
      <c r="BW123" s="559" t="s">
        <v>300</v>
      </c>
      <c r="BX123" s="559" t="s">
        <v>300</v>
      </c>
      <c r="BY123" s="559" t="s">
        <v>300</v>
      </c>
      <c r="BZ123" s="559" t="s">
        <v>300</v>
      </c>
      <c r="CA123" s="559" t="s">
        <v>300</v>
      </c>
      <c r="CB123" s="559" t="s">
        <v>300</v>
      </c>
      <c r="CC123" s="559" t="s">
        <v>300</v>
      </c>
      <c r="CD123" s="554"/>
      <c r="CE123" s="554"/>
      <c r="CF123" s="554"/>
      <c r="CG123" s="554"/>
      <c r="CH123" s="554"/>
      <c r="CI123" s="554"/>
      <c r="CJ123" s="554"/>
      <c r="CK123" s="554"/>
      <c r="CL123" s="554"/>
      <c r="CM123" s="554"/>
      <c r="CN123" s="554"/>
      <c r="CO123" s="554"/>
      <c r="CP123" s="554"/>
      <c r="CQ123" s="554"/>
      <c r="CR123" s="554"/>
      <c r="CS123" s="554"/>
      <c r="CT123" s="554"/>
      <c r="CU123" s="554"/>
      <c r="CV123" s="554"/>
      <c r="CW123" s="554"/>
      <c r="CX123" s="554"/>
      <c r="CY123" s="554"/>
      <c r="CZ123" s="554"/>
      <c r="DA123" s="554"/>
      <c r="DB123" s="554"/>
      <c r="DC123" s="554"/>
      <c r="DD123" s="554"/>
      <c r="DE123" s="534"/>
      <c r="DF123" s="534"/>
      <c r="DG123" s="534"/>
    </row>
    <row r="124" spans="1:111" ht="15" x14ac:dyDescent="0.25">
      <c r="A124" s="549">
        <f>IF(Control!$D$5="Y","-",1)</f>
        <v>1</v>
      </c>
      <c r="B124" s="555" t="s">
        <v>558</v>
      </c>
      <c r="C124" s="555" t="s">
        <v>559</v>
      </c>
      <c r="D124" s="555" t="s">
        <v>563</v>
      </c>
      <c r="E124" s="556" t="s">
        <v>22</v>
      </c>
      <c r="F124" s="556" t="s">
        <v>22</v>
      </c>
      <c r="G124" s="556" t="str">
        <f>IFERROR(IF(MID('Load Criteria'!X124,FIND("_",'Load Criteria'!X124,1)+1,1)=LEFT(Control!$D$23,1),"YES","-"),"-")</f>
        <v>YES</v>
      </c>
      <c r="H124" s="549" t="str">
        <f>IF(INDEX('Weather Cases'!$G$10:$G$94,MATCH('Load Criteria'!X124,'Weather Cases'!$H$10:$H$94,0),1)="H","YES","")</f>
        <v>YES</v>
      </c>
      <c r="I124" s="595" t="s">
        <v>299</v>
      </c>
      <c r="J124" s="596">
        <v>2500</v>
      </c>
      <c r="K124" s="596" t="s">
        <v>88</v>
      </c>
      <c r="L124" s="252"/>
      <c r="M124" s="252"/>
      <c r="N124" s="252"/>
      <c r="O124" s="252"/>
      <c r="P124" s="393"/>
      <c r="Q124" s="393"/>
      <c r="R124" s="393"/>
      <c r="S124" s="393"/>
      <c r="T124" s="393"/>
      <c r="U124" s="550" t="s">
        <v>564</v>
      </c>
      <c r="V124" s="551">
        <v>45</v>
      </c>
      <c r="W124" s="542" t="str">
        <f t="shared" ref="W124:W131" si="39">X124&amp;"+"&amp;K124&amp;IF(L124="","",CONCATENATE(L124,M124,N124,O124))&amp;" "&amp;U124&amp;TEXT(V124,"+00;-00")</f>
        <v>MW2500_A8+E BI++45</v>
      </c>
      <c r="X124" s="552" t="str">
        <f>I124&amp;TEXT(J124,"0000")&amp;"_"&amp;LEFT(Control!$D$23,1)&amp;LEFT(Control!$D$22,LEN(Control!$D$22)-2)</f>
        <v>MW2500_A8</v>
      </c>
      <c r="Y124" s="552" t="s">
        <v>433</v>
      </c>
      <c r="Z124" s="552" t="str">
        <f>U124</f>
        <v>BI+</v>
      </c>
      <c r="AA124" s="552">
        <f>V124</f>
        <v>45</v>
      </c>
      <c r="AB124" s="552">
        <v>1</v>
      </c>
      <c r="AC124" s="552">
        <v>1</v>
      </c>
      <c r="AD124" s="552">
        <v>1</v>
      </c>
      <c r="AE124" s="552">
        <v>1</v>
      </c>
      <c r="AF124" s="552">
        <v>1</v>
      </c>
      <c r="AG124" s="542" t="s">
        <v>561</v>
      </c>
      <c r="AH124" s="552">
        <v>0</v>
      </c>
      <c r="AI124" s="552">
        <v>0</v>
      </c>
      <c r="AJ124" s="552">
        <v>1</v>
      </c>
      <c r="AK124" s="552">
        <v>1</v>
      </c>
      <c r="AL124" s="552">
        <v>1</v>
      </c>
      <c r="AM124" s="552">
        <v>0</v>
      </c>
      <c r="AN124" s="552">
        <v>0</v>
      </c>
      <c r="AO124" s="552">
        <v>1</v>
      </c>
      <c r="AP124" s="552">
        <v>1</v>
      </c>
      <c r="AQ124" s="552">
        <v>1</v>
      </c>
      <c r="AR124" s="552">
        <v>1</v>
      </c>
      <c r="AS124" s="552">
        <v>1</v>
      </c>
      <c r="AT124" s="552">
        <v>1</v>
      </c>
      <c r="AU124" s="552">
        <v>1</v>
      </c>
      <c r="AV124" s="553" t="str">
        <f>IF(H124="YES","'"&amp;INDEX('Structure Groups'!$C$12:$C$14,MATCH('Load Criteria'!$B$5,'Structure Groups'!$B$12:$B$14,0),1)&amp;"'","'All'")</f>
        <v>'GL Max 800m'</v>
      </c>
      <c r="AW124" s="552" t="s">
        <v>562</v>
      </c>
      <c r="AX124" s="552"/>
      <c r="AY124" s="552" t="str">
        <f t="shared" si="32"/>
        <v>No</v>
      </c>
      <c r="AZ124" s="554" t="str">
        <f t="shared" si="33"/>
        <v/>
      </c>
      <c r="BA124" s="554" t="str">
        <f t="shared" si="37"/>
        <v/>
      </c>
      <c r="BB124" s="552" t="str">
        <f t="shared" si="38"/>
        <v/>
      </c>
      <c r="BC124" s="554"/>
      <c r="BD124" s="552"/>
      <c r="BE124" s="554"/>
      <c r="BF124" s="554"/>
      <c r="BG124" s="554"/>
      <c r="BH124" s="554"/>
      <c r="BI124" s="554"/>
      <c r="BJ124" s="554"/>
      <c r="BK124" s="554"/>
      <c r="BL124" s="554"/>
      <c r="BM124" s="554"/>
      <c r="BN124" s="554"/>
      <c r="BO124" s="554"/>
      <c r="BP124" s="554"/>
      <c r="BQ124" s="554"/>
      <c r="BR124" s="554"/>
      <c r="BS124" s="554"/>
      <c r="BT124" s="554"/>
      <c r="BU124" s="554"/>
      <c r="BV124" s="554"/>
      <c r="BW124" s="554"/>
      <c r="BX124" s="554"/>
      <c r="BY124" s="554"/>
      <c r="BZ124" s="554"/>
      <c r="CA124" s="554"/>
      <c r="CB124" s="554"/>
      <c r="CC124" s="554"/>
      <c r="CD124" s="554"/>
      <c r="CE124" s="554"/>
      <c r="CF124" s="554"/>
      <c r="CG124" s="554"/>
      <c r="CH124" s="554"/>
      <c r="CI124" s="554"/>
      <c r="CJ124" s="554"/>
      <c r="CK124" s="554"/>
      <c r="CL124" s="554"/>
      <c r="CM124" s="554"/>
      <c r="CN124" s="554"/>
      <c r="CO124" s="554"/>
      <c r="CP124" s="554"/>
      <c r="CQ124" s="554"/>
      <c r="CR124" s="554"/>
      <c r="CS124" s="554"/>
      <c r="CT124" s="554"/>
      <c r="CU124" s="554"/>
      <c r="CV124" s="554"/>
      <c r="CW124" s="554"/>
      <c r="CX124" s="554"/>
      <c r="CY124" s="554"/>
      <c r="CZ124" s="554"/>
      <c r="DA124" s="554"/>
      <c r="DB124" s="554"/>
      <c r="DC124" s="554"/>
      <c r="DD124" s="554"/>
      <c r="DE124" s="534"/>
      <c r="DF124" s="534"/>
      <c r="DG124" s="534"/>
    </row>
    <row r="125" spans="1:111" ht="15" x14ac:dyDescent="0.25">
      <c r="A125" s="549">
        <f>IF(Control!$D$5="Y","-",1)</f>
        <v>1</v>
      </c>
      <c r="B125" s="555" t="s">
        <v>558</v>
      </c>
      <c r="C125" s="555" t="s">
        <v>559</v>
      </c>
      <c r="D125" s="555" t="s">
        <v>563</v>
      </c>
      <c r="E125" s="556" t="s">
        <v>22</v>
      </c>
      <c r="F125" s="556" t="s">
        <v>22</v>
      </c>
      <c r="G125" s="556" t="str">
        <f>IFERROR(IF(MID('Load Criteria'!X125,FIND("_",'Load Criteria'!X125,1)+1,1)=LEFT(Control!$D$23,1),"YES","-"),"-")</f>
        <v>YES</v>
      </c>
      <c r="H125" s="549" t="str">
        <f>IF(INDEX('Weather Cases'!$G$10:$G$94,MATCH('Load Criteria'!X125,'Weather Cases'!$H$10:$H$94,0),1)="H","YES","")</f>
        <v>YES</v>
      </c>
      <c r="I125" s="595" t="s">
        <v>299</v>
      </c>
      <c r="J125" s="596">
        <v>2500</v>
      </c>
      <c r="K125" s="596" t="s">
        <v>88</v>
      </c>
      <c r="L125" s="252"/>
      <c r="M125" s="252"/>
      <c r="N125" s="252"/>
      <c r="O125" s="252"/>
      <c r="P125" s="393"/>
      <c r="Q125" s="393"/>
      <c r="R125" s="393"/>
      <c r="S125" s="393"/>
      <c r="T125" s="393"/>
      <c r="U125" s="550" t="s">
        <v>564</v>
      </c>
      <c r="V125" s="551">
        <v>30</v>
      </c>
      <c r="W125" s="542" t="str">
        <f t="shared" si="39"/>
        <v>MW2500_A8+E BI++30</v>
      </c>
      <c r="X125" s="552" t="str">
        <f>I125&amp;TEXT(J125,"0000")&amp;"_"&amp;LEFT(Control!$D$23,1)&amp;LEFT(Control!$D$22,LEN(Control!$D$22)-2)</f>
        <v>MW2500_A8</v>
      </c>
      <c r="Y125" s="552" t="s">
        <v>433</v>
      </c>
      <c r="Z125" s="552" t="str">
        <f t="shared" ref="Z125:Z131" si="40">U125</f>
        <v>BI+</v>
      </c>
      <c r="AA125" s="552">
        <f t="shared" ref="AA125:AA131" si="41">V125</f>
        <v>30</v>
      </c>
      <c r="AB125" s="552">
        <v>1</v>
      </c>
      <c r="AC125" s="552">
        <v>1</v>
      </c>
      <c r="AD125" s="552">
        <v>1</v>
      </c>
      <c r="AE125" s="552">
        <v>1</v>
      </c>
      <c r="AF125" s="552">
        <v>1</v>
      </c>
      <c r="AG125" s="542" t="s">
        <v>561</v>
      </c>
      <c r="AH125" s="552">
        <v>0</v>
      </c>
      <c r="AI125" s="552">
        <v>0</v>
      </c>
      <c r="AJ125" s="552">
        <v>1</v>
      </c>
      <c r="AK125" s="552">
        <v>1</v>
      </c>
      <c r="AL125" s="552">
        <v>1</v>
      </c>
      <c r="AM125" s="552">
        <v>0</v>
      </c>
      <c r="AN125" s="552">
        <v>0</v>
      </c>
      <c r="AO125" s="552">
        <v>1</v>
      </c>
      <c r="AP125" s="552">
        <v>1</v>
      </c>
      <c r="AQ125" s="552">
        <v>1</v>
      </c>
      <c r="AR125" s="552">
        <v>1</v>
      </c>
      <c r="AS125" s="552">
        <v>1</v>
      </c>
      <c r="AT125" s="552">
        <v>1</v>
      </c>
      <c r="AU125" s="552">
        <v>1</v>
      </c>
      <c r="AV125" s="553" t="str">
        <f>IF(H125="YES","'"&amp;INDEX('Structure Groups'!$C$12:$C$14,MATCH('Load Criteria'!$B$5,'Structure Groups'!$B$12:$B$14,0),1)&amp;"'","'All'")</f>
        <v>'GL Max 800m'</v>
      </c>
      <c r="AW125" s="552" t="s">
        <v>562</v>
      </c>
      <c r="AX125" s="552"/>
      <c r="AY125" s="552" t="str">
        <f t="shared" si="32"/>
        <v>No</v>
      </c>
      <c r="AZ125" s="554" t="str">
        <f t="shared" si="33"/>
        <v/>
      </c>
      <c r="BA125" s="554" t="str">
        <f t="shared" si="37"/>
        <v/>
      </c>
      <c r="BB125" s="552" t="str">
        <f t="shared" si="38"/>
        <v/>
      </c>
      <c r="BC125" s="554"/>
      <c r="BD125" s="552"/>
      <c r="BE125" s="554"/>
      <c r="BF125" s="554"/>
      <c r="BG125" s="554"/>
      <c r="BH125" s="554"/>
      <c r="BI125" s="554"/>
      <c r="BJ125" s="554"/>
      <c r="BK125" s="554"/>
      <c r="BL125" s="554"/>
      <c r="BM125" s="554"/>
      <c r="BN125" s="554"/>
      <c r="BO125" s="554"/>
      <c r="BP125" s="554"/>
      <c r="BQ125" s="554"/>
      <c r="BR125" s="554"/>
      <c r="BS125" s="554"/>
      <c r="BT125" s="554"/>
      <c r="BU125" s="554"/>
      <c r="BV125" s="554"/>
      <c r="BW125" s="554"/>
      <c r="BX125" s="554"/>
      <c r="BY125" s="554"/>
      <c r="BZ125" s="554"/>
      <c r="CA125" s="554"/>
      <c r="CB125" s="554"/>
      <c r="CC125" s="554"/>
      <c r="CD125" s="554"/>
      <c r="CE125" s="554"/>
      <c r="CF125" s="554"/>
      <c r="CG125" s="554"/>
      <c r="CH125" s="554"/>
      <c r="CI125" s="554"/>
      <c r="CJ125" s="554"/>
      <c r="CK125" s="554"/>
      <c r="CL125" s="554"/>
      <c r="CM125" s="554"/>
      <c r="CN125" s="554"/>
      <c r="CO125" s="554"/>
      <c r="CP125" s="554"/>
      <c r="CQ125" s="554"/>
      <c r="CR125" s="554"/>
      <c r="CS125" s="554"/>
      <c r="CT125" s="554"/>
      <c r="CU125" s="554"/>
      <c r="CV125" s="554"/>
      <c r="CW125" s="554"/>
      <c r="CX125" s="554"/>
      <c r="CY125" s="554"/>
      <c r="CZ125" s="554"/>
      <c r="DA125" s="554"/>
      <c r="DB125" s="554"/>
      <c r="DC125" s="554"/>
      <c r="DD125" s="554"/>
      <c r="DE125" s="534"/>
      <c r="DF125" s="534"/>
      <c r="DG125" s="534"/>
    </row>
    <row r="126" spans="1:111" ht="15" x14ac:dyDescent="0.25">
      <c r="A126" s="549">
        <f>IF(Control!$D$5="Y","-",1)</f>
        <v>1</v>
      </c>
      <c r="B126" s="555" t="s">
        <v>558</v>
      </c>
      <c r="C126" s="555" t="s">
        <v>559</v>
      </c>
      <c r="D126" s="555" t="s">
        <v>563</v>
      </c>
      <c r="E126" s="556" t="s">
        <v>22</v>
      </c>
      <c r="F126" s="556" t="s">
        <v>22</v>
      </c>
      <c r="G126" s="556" t="str">
        <f>IFERROR(IF(MID('Load Criteria'!X126,FIND("_",'Load Criteria'!X126,1)+1,1)=LEFT(Control!$D$23,1),"YES","-"),"-")</f>
        <v>YES</v>
      </c>
      <c r="H126" s="549" t="str">
        <f>IF(INDEX('Weather Cases'!$G$10:$G$94,MATCH('Load Criteria'!X126,'Weather Cases'!$H$10:$H$94,0),1)="H","YES","")</f>
        <v>YES</v>
      </c>
      <c r="I126" s="595" t="s">
        <v>299</v>
      </c>
      <c r="J126" s="596">
        <v>2500</v>
      </c>
      <c r="K126" s="596" t="s">
        <v>88</v>
      </c>
      <c r="L126" s="252"/>
      <c r="M126" s="252"/>
      <c r="N126" s="252"/>
      <c r="O126" s="252"/>
      <c r="P126" s="393"/>
      <c r="Q126" s="393"/>
      <c r="R126" s="393"/>
      <c r="S126" s="393"/>
      <c r="T126" s="393"/>
      <c r="U126" s="550" t="s">
        <v>564</v>
      </c>
      <c r="V126" s="551">
        <v>15</v>
      </c>
      <c r="W126" s="542" t="str">
        <f t="shared" si="39"/>
        <v>MW2500_A8+E BI++15</v>
      </c>
      <c r="X126" s="552" t="str">
        <f>I126&amp;TEXT(J126,"0000")&amp;"_"&amp;LEFT(Control!$D$23,1)&amp;LEFT(Control!$D$22,LEN(Control!$D$22)-2)</f>
        <v>MW2500_A8</v>
      </c>
      <c r="Y126" s="552" t="s">
        <v>433</v>
      </c>
      <c r="Z126" s="552" t="str">
        <f t="shared" si="40"/>
        <v>BI+</v>
      </c>
      <c r="AA126" s="552">
        <f t="shared" si="41"/>
        <v>15</v>
      </c>
      <c r="AB126" s="552">
        <v>1</v>
      </c>
      <c r="AC126" s="552">
        <v>1</v>
      </c>
      <c r="AD126" s="552">
        <v>1</v>
      </c>
      <c r="AE126" s="552">
        <v>1</v>
      </c>
      <c r="AF126" s="552">
        <v>1</v>
      </c>
      <c r="AG126" s="542" t="s">
        <v>561</v>
      </c>
      <c r="AH126" s="552">
        <v>0</v>
      </c>
      <c r="AI126" s="552">
        <v>0</v>
      </c>
      <c r="AJ126" s="552">
        <v>1</v>
      </c>
      <c r="AK126" s="552">
        <v>1</v>
      </c>
      <c r="AL126" s="552">
        <v>1</v>
      </c>
      <c r="AM126" s="552">
        <v>0</v>
      </c>
      <c r="AN126" s="552">
        <v>0</v>
      </c>
      <c r="AO126" s="552">
        <v>1</v>
      </c>
      <c r="AP126" s="552">
        <v>1</v>
      </c>
      <c r="AQ126" s="552">
        <v>1</v>
      </c>
      <c r="AR126" s="552">
        <v>1</v>
      </c>
      <c r="AS126" s="552">
        <v>1</v>
      </c>
      <c r="AT126" s="552">
        <v>1</v>
      </c>
      <c r="AU126" s="552">
        <v>1</v>
      </c>
      <c r="AV126" s="553" t="str">
        <f>IF(H126="YES","'"&amp;INDEX('Structure Groups'!$C$12:$C$14,MATCH('Load Criteria'!$B$5,'Structure Groups'!$B$12:$B$14,0),1)&amp;"'","'All'")</f>
        <v>'GL Max 800m'</v>
      </c>
      <c r="AW126" s="552" t="s">
        <v>562</v>
      </c>
      <c r="AX126" s="552"/>
      <c r="AY126" s="552" t="str">
        <f t="shared" si="32"/>
        <v>No</v>
      </c>
      <c r="AZ126" s="554" t="str">
        <f t="shared" si="33"/>
        <v/>
      </c>
      <c r="BA126" s="554" t="str">
        <f t="shared" si="37"/>
        <v/>
      </c>
      <c r="BB126" s="552" t="str">
        <f t="shared" si="38"/>
        <v/>
      </c>
      <c r="BC126" s="554"/>
      <c r="BD126" s="552"/>
      <c r="BE126" s="554"/>
      <c r="BF126" s="554"/>
      <c r="BG126" s="554"/>
      <c r="BH126" s="554"/>
      <c r="BI126" s="554"/>
      <c r="BJ126" s="554"/>
      <c r="BK126" s="554"/>
      <c r="BL126" s="554"/>
      <c r="BM126" s="554"/>
      <c r="BN126" s="554"/>
      <c r="BO126" s="554"/>
      <c r="BP126" s="554"/>
      <c r="BQ126" s="554"/>
      <c r="BR126" s="554"/>
      <c r="BS126" s="554"/>
      <c r="BT126" s="554"/>
      <c r="BU126" s="554"/>
      <c r="BV126" s="554"/>
      <c r="BW126" s="554"/>
      <c r="BX126" s="554"/>
      <c r="BY126" s="554"/>
      <c r="BZ126" s="554"/>
      <c r="CA126" s="554"/>
      <c r="CB126" s="554"/>
      <c r="CC126" s="554"/>
      <c r="CD126" s="554"/>
      <c r="CE126" s="554"/>
      <c r="CF126" s="554"/>
      <c r="CG126" s="554"/>
      <c r="CH126" s="554"/>
      <c r="CI126" s="554"/>
      <c r="CJ126" s="554"/>
      <c r="CK126" s="554"/>
      <c r="CL126" s="554"/>
      <c r="CM126" s="554"/>
      <c r="CN126" s="554"/>
      <c r="CO126" s="554"/>
      <c r="CP126" s="554"/>
      <c r="CQ126" s="554"/>
      <c r="CR126" s="554"/>
      <c r="CS126" s="554"/>
      <c r="CT126" s="554"/>
      <c r="CU126" s="554"/>
      <c r="CV126" s="554"/>
      <c r="CW126" s="554"/>
      <c r="CX126" s="554"/>
      <c r="CY126" s="554"/>
      <c r="CZ126" s="554"/>
      <c r="DA126" s="554"/>
      <c r="DB126" s="554"/>
      <c r="DC126" s="554"/>
      <c r="DD126" s="554"/>
      <c r="DE126" s="534"/>
      <c r="DF126" s="534"/>
      <c r="DG126" s="534"/>
    </row>
    <row r="127" spans="1:111" ht="15" x14ac:dyDescent="0.25">
      <c r="A127" s="549">
        <f>IF(Control!$D$5="Y","-",1)</f>
        <v>1</v>
      </c>
      <c r="B127" s="555" t="s">
        <v>558</v>
      </c>
      <c r="C127" s="555" t="s">
        <v>559</v>
      </c>
      <c r="D127" s="555" t="s">
        <v>563</v>
      </c>
      <c r="E127" s="556" t="s">
        <v>22</v>
      </c>
      <c r="F127" s="556" t="s">
        <v>22</v>
      </c>
      <c r="G127" s="556" t="str">
        <f>IFERROR(IF(MID('Load Criteria'!X127,FIND("_",'Load Criteria'!X127,1)+1,1)=LEFT(Control!$D$23,1),"YES","-"),"-")</f>
        <v>YES</v>
      </c>
      <c r="H127" s="549" t="str">
        <f>IF(INDEX('Weather Cases'!$G$10:$G$94,MATCH('Load Criteria'!X127,'Weather Cases'!$H$10:$H$94,0),1)="H","YES","")</f>
        <v>YES</v>
      </c>
      <c r="I127" s="595" t="s">
        <v>299</v>
      </c>
      <c r="J127" s="596">
        <v>2500</v>
      </c>
      <c r="K127" s="596" t="s">
        <v>88</v>
      </c>
      <c r="L127" s="252"/>
      <c r="M127" s="252"/>
      <c r="N127" s="252"/>
      <c r="O127" s="252"/>
      <c r="P127" s="393"/>
      <c r="Q127" s="393"/>
      <c r="R127" s="393"/>
      <c r="S127" s="393"/>
      <c r="T127" s="393"/>
      <c r="U127" s="550" t="s">
        <v>564</v>
      </c>
      <c r="V127" s="551">
        <v>0</v>
      </c>
      <c r="W127" s="542" t="str">
        <f t="shared" si="39"/>
        <v>MW2500_A8+E BI++00</v>
      </c>
      <c r="X127" s="552" t="str">
        <f>I127&amp;TEXT(J127,"0000")&amp;"_"&amp;LEFT(Control!$D$23,1)&amp;LEFT(Control!$D$22,LEN(Control!$D$22)-2)</f>
        <v>MW2500_A8</v>
      </c>
      <c r="Y127" s="552" t="s">
        <v>433</v>
      </c>
      <c r="Z127" s="552" t="str">
        <f t="shared" si="40"/>
        <v>BI+</v>
      </c>
      <c r="AA127" s="552">
        <f t="shared" si="41"/>
        <v>0</v>
      </c>
      <c r="AB127" s="552">
        <v>1</v>
      </c>
      <c r="AC127" s="552">
        <v>1</v>
      </c>
      <c r="AD127" s="552">
        <v>1</v>
      </c>
      <c r="AE127" s="552">
        <v>1</v>
      </c>
      <c r="AF127" s="552">
        <v>1</v>
      </c>
      <c r="AG127" s="542" t="s">
        <v>561</v>
      </c>
      <c r="AH127" s="552">
        <v>0</v>
      </c>
      <c r="AI127" s="552">
        <v>0</v>
      </c>
      <c r="AJ127" s="552">
        <v>1</v>
      </c>
      <c r="AK127" s="552">
        <v>1</v>
      </c>
      <c r="AL127" s="552">
        <v>1</v>
      </c>
      <c r="AM127" s="552">
        <v>0</v>
      </c>
      <c r="AN127" s="552">
        <v>0</v>
      </c>
      <c r="AO127" s="552">
        <v>1</v>
      </c>
      <c r="AP127" s="552">
        <v>1</v>
      </c>
      <c r="AQ127" s="552">
        <v>1</v>
      </c>
      <c r="AR127" s="552">
        <v>1</v>
      </c>
      <c r="AS127" s="552">
        <v>1</v>
      </c>
      <c r="AT127" s="552">
        <v>1</v>
      </c>
      <c r="AU127" s="552">
        <v>1</v>
      </c>
      <c r="AV127" s="553" t="str">
        <f>IF(H127="YES","'"&amp;INDEX('Structure Groups'!$C$12:$C$14,MATCH('Load Criteria'!$B$5,'Structure Groups'!$B$12:$B$14,0),1)&amp;"'","'All'")</f>
        <v>'GL Max 800m'</v>
      </c>
      <c r="AW127" s="552" t="s">
        <v>562</v>
      </c>
      <c r="AX127" s="552"/>
      <c r="AY127" s="552" t="str">
        <f t="shared" si="32"/>
        <v>No</v>
      </c>
      <c r="AZ127" s="554" t="str">
        <f t="shared" si="33"/>
        <v/>
      </c>
      <c r="BA127" s="554" t="str">
        <f t="shared" si="37"/>
        <v/>
      </c>
      <c r="BB127" s="552" t="str">
        <f t="shared" si="38"/>
        <v/>
      </c>
      <c r="BC127" s="554"/>
      <c r="BD127" s="552"/>
      <c r="BE127" s="554"/>
      <c r="BF127" s="554"/>
      <c r="BG127" s="554"/>
      <c r="BH127" s="554"/>
      <c r="BI127" s="554"/>
      <c r="BJ127" s="554"/>
      <c r="BK127" s="554"/>
      <c r="BL127" s="554"/>
      <c r="BM127" s="554"/>
      <c r="BN127" s="554"/>
      <c r="BO127" s="554"/>
      <c r="BP127" s="554"/>
      <c r="BQ127" s="554"/>
      <c r="BR127" s="554"/>
      <c r="BS127" s="554"/>
      <c r="BT127" s="554"/>
      <c r="BU127" s="554"/>
      <c r="BV127" s="554"/>
      <c r="BW127" s="554"/>
      <c r="BX127" s="554"/>
      <c r="BY127" s="554"/>
      <c r="BZ127" s="554"/>
      <c r="CA127" s="554"/>
      <c r="CB127" s="554"/>
      <c r="CC127" s="554"/>
      <c r="CD127" s="554"/>
      <c r="CE127" s="554"/>
      <c r="CF127" s="554"/>
      <c r="CG127" s="554"/>
      <c r="CH127" s="554"/>
      <c r="CI127" s="554"/>
      <c r="CJ127" s="554"/>
      <c r="CK127" s="554"/>
      <c r="CL127" s="554"/>
      <c r="CM127" s="554"/>
      <c r="CN127" s="554"/>
      <c r="CO127" s="554"/>
      <c r="CP127" s="554"/>
      <c r="CQ127" s="554"/>
      <c r="CR127" s="554"/>
      <c r="CS127" s="554"/>
      <c r="CT127" s="554"/>
      <c r="CU127" s="554"/>
      <c r="CV127" s="554"/>
      <c r="CW127" s="554"/>
      <c r="CX127" s="554"/>
      <c r="CY127" s="554"/>
      <c r="CZ127" s="554"/>
      <c r="DA127" s="554"/>
      <c r="DB127" s="554"/>
      <c r="DC127" s="554"/>
      <c r="DD127" s="554"/>
      <c r="DE127" s="534"/>
      <c r="DF127" s="534"/>
      <c r="DG127" s="534"/>
    </row>
    <row r="128" spans="1:111" ht="15" x14ac:dyDescent="0.25">
      <c r="A128" s="549">
        <f>IF(Control!$D$5="Y","-",1)</f>
        <v>1</v>
      </c>
      <c r="B128" s="555" t="s">
        <v>558</v>
      </c>
      <c r="C128" s="555" t="s">
        <v>559</v>
      </c>
      <c r="D128" s="555" t="s">
        <v>563</v>
      </c>
      <c r="E128" s="556" t="s">
        <v>22</v>
      </c>
      <c r="F128" s="556" t="s">
        <v>22</v>
      </c>
      <c r="G128" s="556" t="str">
        <f>IFERROR(IF(MID('Load Criteria'!X128,FIND("_",'Load Criteria'!X128,1)+1,1)=LEFT(Control!$D$23,1),"YES","-"),"-")</f>
        <v>YES</v>
      </c>
      <c r="H128" s="549" t="str">
        <f>IF(INDEX('Weather Cases'!$G$10:$G$94,MATCH('Load Criteria'!X128,'Weather Cases'!$H$10:$H$94,0),1)="H","YES","")</f>
        <v>YES</v>
      </c>
      <c r="I128" s="595" t="s">
        <v>299</v>
      </c>
      <c r="J128" s="596">
        <v>2500</v>
      </c>
      <c r="K128" s="596" t="s">
        <v>88</v>
      </c>
      <c r="L128" s="252"/>
      <c r="M128" s="252"/>
      <c r="N128" s="252"/>
      <c r="O128" s="252"/>
      <c r="P128" s="393"/>
      <c r="Q128" s="393"/>
      <c r="R128" s="393"/>
      <c r="S128" s="393"/>
      <c r="T128" s="393"/>
      <c r="U128" s="550" t="s">
        <v>564</v>
      </c>
      <c r="V128" s="551">
        <v>-15</v>
      </c>
      <c r="W128" s="542" t="str">
        <f t="shared" si="39"/>
        <v>MW2500_A8+E BI+-15</v>
      </c>
      <c r="X128" s="552" t="str">
        <f>I128&amp;TEXT(J128,"0000")&amp;"_"&amp;LEFT(Control!$D$23,1)&amp;LEFT(Control!$D$22,LEN(Control!$D$22)-2)</f>
        <v>MW2500_A8</v>
      </c>
      <c r="Y128" s="552" t="s">
        <v>433</v>
      </c>
      <c r="Z128" s="552" t="str">
        <f t="shared" si="40"/>
        <v>BI+</v>
      </c>
      <c r="AA128" s="552">
        <f t="shared" si="41"/>
        <v>-15</v>
      </c>
      <c r="AB128" s="552">
        <v>1</v>
      </c>
      <c r="AC128" s="552">
        <v>1</v>
      </c>
      <c r="AD128" s="552">
        <v>1</v>
      </c>
      <c r="AE128" s="552">
        <v>1</v>
      </c>
      <c r="AF128" s="552">
        <v>1</v>
      </c>
      <c r="AG128" s="542" t="s">
        <v>561</v>
      </c>
      <c r="AH128" s="552">
        <v>0</v>
      </c>
      <c r="AI128" s="552">
        <v>0</v>
      </c>
      <c r="AJ128" s="552">
        <v>1</v>
      </c>
      <c r="AK128" s="552">
        <v>1</v>
      </c>
      <c r="AL128" s="552">
        <v>1</v>
      </c>
      <c r="AM128" s="552">
        <v>0</v>
      </c>
      <c r="AN128" s="552">
        <v>0</v>
      </c>
      <c r="AO128" s="552">
        <v>1</v>
      </c>
      <c r="AP128" s="552">
        <v>1</v>
      </c>
      <c r="AQ128" s="552">
        <v>1</v>
      </c>
      <c r="AR128" s="552">
        <v>1</v>
      </c>
      <c r="AS128" s="552">
        <v>1</v>
      </c>
      <c r="AT128" s="552">
        <v>1</v>
      </c>
      <c r="AU128" s="552">
        <v>1</v>
      </c>
      <c r="AV128" s="553" t="str">
        <f>IF(H128="YES","'"&amp;INDEX('Structure Groups'!$C$12:$C$14,MATCH('Load Criteria'!$B$5,'Structure Groups'!$B$12:$B$14,0),1)&amp;"'","'All'")</f>
        <v>'GL Max 800m'</v>
      </c>
      <c r="AW128" s="552" t="s">
        <v>562</v>
      </c>
      <c r="AX128" s="552"/>
      <c r="AY128" s="552" t="str">
        <f t="shared" si="32"/>
        <v>No</v>
      </c>
      <c r="AZ128" s="554" t="str">
        <f t="shared" si="33"/>
        <v/>
      </c>
      <c r="BA128" s="554" t="str">
        <f t="shared" si="37"/>
        <v/>
      </c>
      <c r="BB128" s="552" t="str">
        <f t="shared" si="38"/>
        <v/>
      </c>
      <c r="BC128" s="554"/>
      <c r="BD128" s="552"/>
      <c r="BE128" s="554"/>
      <c r="BF128" s="554"/>
      <c r="BG128" s="554"/>
      <c r="BH128" s="554"/>
      <c r="BI128" s="554"/>
      <c r="BJ128" s="554"/>
      <c r="BK128" s="554"/>
      <c r="BL128" s="554"/>
      <c r="BM128" s="554"/>
      <c r="BN128" s="554"/>
      <c r="BO128" s="554"/>
      <c r="BP128" s="554"/>
      <c r="BQ128" s="554"/>
      <c r="BR128" s="554"/>
      <c r="BS128" s="554"/>
      <c r="BT128" s="554"/>
      <c r="BU128" s="554"/>
      <c r="BV128" s="554"/>
      <c r="BW128" s="554"/>
      <c r="BX128" s="554"/>
      <c r="BY128" s="554"/>
      <c r="BZ128" s="554"/>
      <c r="CA128" s="554"/>
      <c r="CB128" s="554"/>
      <c r="CC128" s="554"/>
      <c r="CD128" s="554"/>
      <c r="CE128" s="554"/>
      <c r="CF128" s="554"/>
      <c r="CG128" s="554"/>
      <c r="CH128" s="554"/>
      <c r="CI128" s="554"/>
      <c r="CJ128" s="554"/>
      <c r="CK128" s="554"/>
      <c r="CL128" s="554"/>
      <c r="CM128" s="554"/>
      <c r="CN128" s="554"/>
      <c r="CO128" s="554"/>
      <c r="CP128" s="554"/>
      <c r="CQ128" s="554"/>
      <c r="CR128" s="554"/>
      <c r="CS128" s="554"/>
      <c r="CT128" s="554"/>
      <c r="CU128" s="554"/>
      <c r="CV128" s="554"/>
      <c r="CW128" s="554"/>
      <c r="CX128" s="554"/>
      <c r="CY128" s="554"/>
      <c r="CZ128" s="554"/>
      <c r="DA128" s="554"/>
      <c r="DB128" s="554"/>
      <c r="DC128" s="554"/>
      <c r="DD128" s="554"/>
      <c r="DE128" s="534"/>
      <c r="DF128" s="534"/>
      <c r="DG128" s="534"/>
    </row>
    <row r="129" spans="1:111" ht="15" x14ac:dyDescent="0.25">
      <c r="A129" s="549">
        <f>IF(Control!$D$5="Y","-",1)</f>
        <v>1</v>
      </c>
      <c r="B129" s="555" t="s">
        <v>558</v>
      </c>
      <c r="C129" s="555" t="s">
        <v>559</v>
      </c>
      <c r="D129" s="555" t="s">
        <v>563</v>
      </c>
      <c r="E129" s="556" t="s">
        <v>22</v>
      </c>
      <c r="F129" s="556" t="s">
        <v>22</v>
      </c>
      <c r="G129" s="556" t="str">
        <f>IFERROR(IF(MID('Load Criteria'!X129,FIND("_",'Load Criteria'!X129,1)+1,1)=LEFT(Control!$D$23,1),"YES","-"),"-")</f>
        <v>YES</v>
      </c>
      <c r="H129" s="549" t="str">
        <f>IF(INDEX('Weather Cases'!$G$10:$G$94,MATCH('Load Criteria'!X129,'Weather Cases'!$H$10:$H$94,0),1)="H","YES","")</f>
        <v>YES</v>
      </c>
      <c r="I129" s="595" t="s">
        <v>299</v>
      </c>
      <c r="J129" s="596">
        <v>2500</v>
      </c>
      <c r="K129" s="596" t="s">
        <v>88</v>
      </c>
      <c r="L129" s="252"/>
      <c r="M129" s="252"/>
      <c r="N129" s="252"/>
      <c r="O129" s="252"/>
      <c r="P129" s="393"/>
      <c r="Q129" s="393"/>
      <c r="R129" s="393"/>
      <c r="S129" s="393"/>
      <c r="T129" s="393"/>
      <c r="U129" s="550" t="s">
        <v>564</v>
      </c>
      <c r="V129" s="551">
        <v>-30</v>
      </c>
      <c r="W129" s="542" t="str">
        <f t="shared" si="39"/>
        <v>MW2500_A8+E BI+-30</v>
      </c>
      <c r="X129" s="552" t="str">
        <f>I129&amp;TEXT(J129,"0000")&amp;"_"&amp;LEFT(Control!$D$23,1)&amp;LEFT(Control!$D$22,LEN(Control!$D$22)-2)</f>
        <v>MW2500_A8</v>
      </c>
      <c r="Y129" s="552" t="s">
        <v>433</v>
      </c>
      <c r="Z129" s="552" t="str">
        <f t="shared" si="40"/>
        <v>BI+</v>
      </c>
      <c r="AA129" s="552">
        <f t="shared" si="41"/>
        <v>-30</v>
      </c>
      <c r="AB129" s="552">
        <v>1</v>
      </c>
      <c r="AC129" s="552">
        <v>1</v>
      </c>
      <c r="AD129" s="552">
        <v>1</v>
      </c>
      <c r="AE129" s="552">
        <v>1</v>
      </c>
      <c r="AF129" s="552">
        <v>1</v>
      </c>
      <c r="AG129" s="542" t="s">
        <v>561</v>
      </c>
      <c r="AH129" s="552">
        <v>0</v>
      </c>
      <c r="AI129" s="552">
        <v>0</v>
      </c>
      <c r="AJ129" s="552">
        <v>1</v>
      </c>
      <c r="AK129" s="552">
        <v>1</v>
      </c>
      <c r="AL129" s="552">
        <v>1</v>
      </c>
      <c r="AM129" s="552">
        <v>0</v>
      </c>
      <c r="AN129" s="552">
        <v>0</v>
      </c>
      <c r="AO129" s="552">
        <v>1</v>
      </c>
      <c r="AP129" s="552">
        <v>1</v>
      </c>
      <c r="AQ129" s="552">
        <v>1</v>
      </c>
      <c r="AR129" s="552">
        <v>1</v>
      </c>
      <c r="AS129" s="552">
        <v>1</v>
      </c>
      <c r="AT129" s="552">
        <v>1</v>
      </c>
      <c r="AU129" s="552">
        <v>1</v>
      </c>
      <c r="AV129" s="553" t="str">
        <f>IF(H129="YES","'"&amp;INDEX('Structure Groups'!$C$12:$C$14,MATCH('Load Criteria'!$B$5,'Structure Groups'!$B$12:$B$14,0),1)&amp;"'","'All'")</f>
        <v>'GL Max 800m'</v>
      </c>
      <c r="AW129" s="552" t="s">
        <v>562</v>
      </c>
      <c r="AX129" s="552"/>
      <c r="AY129" s="552" t="str">
        <f t="shared" si="32"/>
        <v>No</v>
      </c>
      <c r="AZ129" s="554" t="str">
        <f t="shared" si="33"/>
        <v/>
      </c>
      <c r="BA129" s="554" t="str">
        <f t="shared" si="37"/>
        <v/>
      </c>
      <c r="BB129" s="552" t="str">
        <f t="shared" si="38"/>
        <v/>
      </c>
      <c r="BC129" s="554"/>
      <c r="BD129" s="552"/>
      <c r="BE129" s="554"/>
      <c r="BF129" s="554"/>
      <c r="BG129" s="554"/>
      <c r="BH129" s="554"/>
      <c r="BI129" s="554"/>
      <c r="BJ129" s="554"/>
      <c r="BK129" s="554"/>
      <c r="BL129" s="554"/>
      <c r="BM129" s="554"/>
      <c r="BN129" s="554"/>
      <c r="BO129" s="554"/>
      <c r="BP129" s="554"/>
      <c r="BQ129" s="554"/>
      <c r="BR129" s="554"/>
      <c r="BS129" s="554"/>
      <c r="BT129" s="554"/>
      <c r="BU129" s="554"/>
      <c r="BV129" s="554"/>
      <c r="BW129" s="554"/>
      <c r="BX129" s="554"/>
      <c r="BY129" s="554"/>
      <c r="BZ129" s="554"/>
      <c r="CA129" s="554"/>
      <c r="CB129" s="554"/>
      <c r="CC129" s="554"/>
      <c r="CD129" s="554"/>
      <c r="CE129" s="554"/>
      <c r="CF129" s="554"/>
      <c r="CG129" s="554"/>
      <c r="CH129" s="554"/>
      <c r="CI129" s="554"/>
      <c r="CJ129" s="554"/>
      <c r="CK129" s="554"/>
      <c r="CL129" s="554"/>
      <c r="CM129" s="554"/>
      <c r="CN129" s="554"/>
      <c r="CO129" s="554"/>
      <c r="CP129" s="554"/>
      <c r="CQ129" s="554"/>
      <c r="CR129" s="554"/>
      <c r="CS129" s="554"/>
      <c r="CT129" s="554"/>
      <c r="CU129" s="554"/>
      <c r="CV129" s="554"/>
      <c r="CW129" s="554"/>
      <c r="CX129" s="554"/>
      <c r="CY129" s="554"/>
      <c r="CZ129" s="554"/>
      <c r="DA129" s="554"/>
      <c r="DB129" s="554"/>
      <c r="DC129" s="554"/>
      <c r="DD129" s="554"/>
      <c r="DE129" s="534"/>
      <c r="DF129" s="534"/>
      <c r="DG129" s="534"/>
    </row>
    <row r="130" spans="1:111" ht="15" x14ac:dyDescent="0.25">
      <c r="A130" s="549">
        <f>IF(Control!$D$5="Y","-",1)</f>
        <v>1</v>
      </c>
      <c r="B130" s="555" t="s">
        <v>558</v>
      </c>
      <c r="C130" s="555" t="s">
        <v>559</v>
      </c>
      <c r="D130" s="555" t="s">
        <v>563</v>
      </c>
      <c r="E130" s="556" t="s">
        <v>22</v>
      </c>
      <c r="F130" s="556" t="s">
        <v>22</v>
      </c>
      <c r="G130" s="556" t="str">
        <f>IFERROR(IF(MID('Load Criteria'!X130,FIND("_",'Load Criteria'!X130,1)+1,1)=LEFT(Control!$D$23,1),"YES","-"),"-")</f>
        <v>YES</v>
      </c>
      <c r="H130" s="549" t="str">
        <f>IF(INDEX('Weather Cases'!$G$10:$G$94,MATCH('Load Criteria'!X130,'Weather Cases'!$H$10:$H$94,0),1)="H","YES","")</f>
        <v>YES</v>
      </c>
      <c r="I130" s="595" t="s">
        <v>299</v>
      </c>
      <c r="J130" s="596">
        <v>2500</v>
      </c>
      <c r="K130" s="596" t="s">
        <v>88</v>
      </c>
      <c r="L130" s="252"/>
      <c r="M130" s="252"/>
      <c r="N130" s="252"/>
      <c r="O130" s="252"/>
      <c r="P130" s="393"/>
      <c r="Q130" s="393"/>
      <c r="R130" s="393"/>
      <c r="S130" s="393"/>
      <c r="T130" s="393"/>
      <c r="U130" s="550" t="s">
        <v>564</v>
      </c>
      <c r="V130" s="551">
        <v>-45</v>
      </c>
      <c r="W130" s="542" t="str">
        <f t="shared" si="39"/>
        <v>MW2500_A8+E BI+-45</v>
      </c>
      <c r="X130" s="552" t="str">
        <f>I130&amp;TEXT(J130,"0000")&amp;"_"&amp;LEFT(Control!$D$23,1)&amp;LEFT(Control!$D$22,LEN(Control!$D$22)-2)</f>
        <v>MW2500_A8</v>
      </c>
      <c r="Y130" s="552" t="s">
        <v>433</v>
      </c>
      <c r="Z130" s="552" t="str">
        <f t="shared" si="40"/>
        <v>BI+</v>
      </c>
      <c r="AA130" s="552">
        <f t="shared" si="41"/>
        <v>-45</v>
      </c>
      <c r="AB130" s="552">
        <v>1</v>
      </c>
      <c r="AC130" s="552">
        <v>1</v>
      </c>
      <c r="AD130" s="552">
        <v>1</v>
      </c>
      <c r="AE130" s="552">
        <v>1</v>
      </c>
      <c r="AF130" s="552">
        <v>1</v>
      </c>
      <c r="AG130" s="542" t="s">
        <v>561</v>
      </c>
      <c r="AH130" s="552">
        <v>0</v>
      </c>
      <c r="AI130" s="552">
        <v>0</v>
      </c>
      <c r="AJ130" s="552">
        <v>1</v>
      </c>
      <c r="AK130" s="552">
        <v>1</v>
      </c>
      <c r="AL130" s="552">
        <v>1</v>
      </c>
      <c r="AM130" s="552">
        <v>0</v>
      </c>
      <c r="AN130" s="552">
        <v>0</v>
      </c>
      <c r="AO130" s="552">
        <v>1</v>
      </c>
      <c r="AP130" s="552">
        <v>1</v>
      </c>
      <c r="AQ130" s="552">
        <v>1</v>
      </c>
      <c r="AR130" s="552">
        <v>1</v>
      </c>
      <c r="AS130" s="552">
        <v>1</v>
      </c>
      <c r="AT130" s="552">
        <v>1</v>
      </c>
      <c r="AU130" s="552">
        <v>1</v>
      </c>
      <c r="AV130" s="553" t="str">
        <f>IF(H130="YES","'"&amp;INDEX('Structure Groups'!$C$12:$C$14,MATCH('Load Criteria'!$B$5,'Structure Groups'!$B$12:$B$14,0),1)&amp;"'","'All'")</f>
        <v>'GL Max 800m'</v>
      </c>
      <c r="AW130" s="552" t="s">
        <v>562</v>
      </c>
      <c r="AX130" s="552"/>
      <c r="AY130" s="552" t="str">
        <f t="shared" si="32"/>
        <v>No</v>
      </c>
      <c r="AZ130" s="554" t="str">
        <f t="shared" si="33"/>
        <v/>
      </c>
      <c r="BA130" s="554" t="str">
        <f t="shared" si="37"/>
        <v/>
      </c>
      <c r="BB130" s="552" t="str">
        <f t="shared" si="38"/>
        <v/>
      </c>
      <c r="BC130" s="554"/>
      <c r="BD130" s="552"/>
      <c r="BE130" s="554"/>
      <c r="BF130" s="554"/>
      <c r="BG130" s="554"/>
      <c r="BH130" s="554"/>
      <c r="BI130" s="554"/>
      <c r="BJ130" s="554"/>
      <c r="BK130" s="554"/>
      <c r="BL130" s="554"/>
      <c r="BM130" s="554"/>
      <c r="BN130" s="554"/>
      <c r="BO130" s="554"/>
      <c r="BP130" s="554"/>
      <c r="BQ130" s="554"/>
      <c r="BR130" s="554"/>
      <c r="BS130" s="554"/>
      <c r="BT130" s="554"/>
      <c r="BU130" s="554"/>
      <c r="BV130" s="554"/>
      <c r="BW130" s="554"/>
      <c r="BX130" s="554"/>
      <c r="BY130" s="554"/>
      <c r="BZ130" s="554"/>
      <c r="CA130" s="554"/>
      <c r="CB130" s="554"/>
      <c r="CC130" s="554"/>
      <c r="CD130" s="554"/>
      <c r="CE130" s="554"/>
      <c r="CF130" s="554"/>
      <c r="CG130" s="554"/>
      <c r="CH130" s="554"/>
      <c r="CI130" s="554"/>
      <c r="CJ130" s="554"/>
      <c r="CK130" s="554"/>
      <c r="CL130" s="554"/>
      <c r="CM130" s="554"/>
      <c r="CN130" s="554"/>
      <c r="CO130" s="554"/>
      <c r="CP130" s="554"/>
      <c r="CQ130" s="554"/>
      <c r="CR130" s="554"/>
      <c r="CS130" s="554"/>
      <c r="CT130" s="554"/>
      <c r="CU130" s="554"/>
      <c r="CV130" s="554"/>
      <c r="CW130" s="554"/>
      <c r="CX130" s="554"/>
      <c r="CY130" s="554"/>
      <c r="CZ130" s="554"/>
      <c r="DA130" s="554"/>
      <c r="DB130" s="554"/>
      <c r="DC130" s="554"/>
      <c r="DD130" s="554"/>
      <c r="DE130" s="534"/>
      <c r="DF130" s="534"/>
      <c r="DG130" s="534"/>
    </row>
    <row r="131" spans="1:111" ht="15" x14ac:dyDescent="0.25">
      <c r="A131" s="549">
        <f>IF(Control!$D$5="Y","-",1)</f>
        <v>1</v>
      </c>
      <c r="B131" s="555" t="s">
        <v>558</v>
      </c>
      <c r="C131" s="555" t="s">
        <v>559</v>
      </c>
      <c r="D131" s="555" t="s">
        <v>563</v>
      </c>
      <c r="E131" s="556" t="s">
        <v>22</v>
      </c>
      <c r="F131" s="556" t="s">
        <v>22</v>
      </c>
      <c r="G131" s="556" t="str">
        <f>IFERROR(IF(MID('Load Criteria'!X131,FIND("_",'Load Criteria'!X131,1)+1,1)=LEFT(Control!$D$23,1),"YES","-"),"-")</f>
        <v>YES</v>
      </c>
      <c r="H131" s="549" t="str">
        <f>IF(INDEX('Weather Cases'!$G$10:$G$94,MATCH('Load Criteria'!X131,'Weather Cases'!$H$10:$H$94,0),1)="H","YES","")</f>
        <v>YES</v>
      </c>
      <c r="I131" s="595" t="s">
        <v>299</v>
      </c>
      <c r="J131" s="596">
        <v>2500</v>
      </c>
      <c r="K131" s="596" t="s">
        <v>88</v>
      </c>
      <c r="L131" s="252"/>
      <c r="M131" s="252"/>
      <c r="N131" s="252"/>
      <c r="O131" s="252"/>
      <c r="P131" s="393"/>
      <c r="Q131" s="393"/>
      <c r="R131" s="393"/>
      <c r="S131" s="393"/>
      <c r="T131" s="393"/>
      <c r="U131" s="550" t="s">
        <v>564</v>
      </c>
      <c r="V131" s="551">
        <v>-90</v>
      </c>
      <c r="W131" s="542" t="str">
        <f t="shared" si="39"/>
        <v>MW2500_A8+E BI+-90</v>
      </c>
      <c r="X131" s="552" t="str">
        <f>I131&amp;TEXT(J131,"0000")&amp;"_"&amp;LEFT(Control!$D$23,1)&amp;LEFT(Control!$D$22,LEN(Control!$D$22)-2)</f>
        <v>MW2500_A8</v>
      </c>
      <c r="Y131" s="552" t="s">
        <v>433</v>
      </c>
      <c r="Z131" s="552" t="str">
        <f t="shared" si="40"/>
        <v>BI+</v>
      </c>
      <c r="AA131" s="552">
        <f t="shared" si="41"/>
        <v>-90</v>
      </c>
      <c r="AB131" s="552">
        <v>1</v>
      </c>
      <c r="AC131" s="552">
        <v>1</v>
      </c>
      <c r="AD131" s="552">
        <v>1</v>
      </c>
      <c r="AE131" s="552">
        <v>1</v>
      </c>
      <c r="AF131" s="552">
        <v>1</v>
      </c>
      <c r="AG131" s="542" t="s">
        <v>561</v>
      </c>
      <c r="AH131" s="552">
        <v>0</v>
      </c>
      <c r="AI131" s="552">
        <v>0</v>
      </c>
      <c r="AJ131" s="552">
        <v>1</v>
      </c>
      <c r="AK131" s="552">
        <v>1</v>
      </c>
      <c r="AL131" s="552">
        <v>1</v>
      </c>
      <c r="AM131" s="552">
        <v>0</v>
      </c>
      <c r="AN131" s="552">
        <v>0</v>
      </c>
      <c r="AO131" s="552">
        <v>1</v>
      </c>
      <c r="AP131" s="552">
        <v>1</v>
      </c>
      <c r="AQ131" s="552">
        <v>1</v>
      </c>
      <c r="AR131" s="552">
        <v>1</v>
      </c>
      <c r="AS131" s="552">
        <v>1</v>
      </c>
      <c r="AT131" s="552">
        <v>1</v>
      </c>
      <c r="AU131" s="552">
        <v>1</v>
      </c>
      <c r="AV131" s="553" t="str">
        <f>IF(H131="YES","'"&amp;INDEX('Structure Groups'!$C$12:$C$14,MATCH('Load Criteria'!$B$5,'Structure Groups'!$B$12:$B$14,0),1)&amp;"'","'All'")</f>
        <v>'GL Max 800m'</v>
      </c>
      <c r="AW131" s="552" t="s">
        <v>562</v>
      </c>
      <c r="AX131" s="552"/>
      <c r="AY131" s="552" t="str">
        <f t="shared" si="32"/>
        <v>No</v>
      </c>
      <c r="AZ131" s="554" t="str">
        <f t="shared" si="33"/>
        <v/>
      </c>
      <c r="BA131" s="554" t="str">
        <f t="shared" si="37"/>
        <v/>
      </c>
      <c r="BB131" s="552" t="str">
        <f t="shared" si="38"/>
        <v/>
      </c>
      <c r="BC131" s="554"/>
      <c r="BD131" s="552"/>
      <c r="BE131" s="554"/>
      <c r="BF131" s="554"/>
      <c r="BG131" s="554"/>
      <c r="BH131" s="554"/>
      <c r="BI131" s="554"/>
      <c r="BJ131" s="554"/>
      <c r="BK131" s="554"/>
      <c r="BL131" s="554"/>
      <c r="BM131" s="554"/>
      <c r="BN131" s="554"/>
      <c r="BO131" s="554"/>
      <c r="BP131" s="554"/>
      <c r="BQ131" s="554"/>
      <c r="BR131" s="554"/>
      <c r="BS131" s="554"/>
      <c r="BT131" s="554"/>
      <c r="BU131" s="554"/>
      <c r="BV131" s="554"/>
      <c r="BW131" s="554"/>
      <c r="BX131" s="554"/>
      <c r="BY131" s="554"/>
      <c r="BZ131" s="554"/>
      <c r="CA131" s="554"/>
      <c r="CB131" s="554"/>
      <c r="CC131" s="554"/>
      <c r="CD131" s="554"/>
      <c r="CE131" s="554"/>
      <c r="CF131" s="554"/>
      <c r="CG131" s="554"/>
      <c r="CH131" s="554"/>
      <c r="CI131" s="554"/>
      <c r="CJ131" s="554"/>
      <c r="CK131" s="554"/>
      <c r="CL131" s="554"/>
      <c r="CM131" s="554"/>
      <c r="CN131" s="554"/>
      <c r="CO131" s="554"/>
      <c r="CP131" s="554"/>
      <c r="CQ131" s="554"/>
      <c r="CR131" s="554"/>
      <c r="CS131" s="554"/>
      <c r="CT131" s="554"/>
      <c r="CU131" s="554"/>
      <c r="CV131" s="554"/>
      <c r="CW131" s="554"/>
      <c r="CX131" s="554"/>
      <c r="CY131" s="554"/>
      <c r="CZ131" s="554"/>
      <c r="DA131" s="554"/>
      <c r="DB131" s="554"/>
      <c r="DC131" s="554"/>
      <c r="DD131" s="554"/>
      <c r="DE131" s="534"/>
      <c r="DF131" s="534"/>
      <c r="DG131" s="534"/>
    </row>
    <row r="132" spans="1:111" ht="15" x14ac:dyDescent="0.25">
      <c r="A132" s="549">
        <f>IF(Control!$D$5="Y","-",1)</f>
        <v>1</v>
      </c>
      <c r="B132" s="555" t="s">
        <v>558</v>
      </c>
      <c r="C132" s="555" t="s">
        <v>559</v>
      </c>
      <c r="D132" s="555" t="s">
        <v>563</v>
      </c>
      <c r="E132" s="556" t="s">
        <v>22</v>
      </c>
      <c r="F132" s="556" t="s">
        <v>22</v>
      </c>
      <c r="G132" s="556" t="str">
        <f>IFERROR(IF(MID('Load Criteria'!X132,FIND("_",'Load Criteria'!X132,1)+1,1)=LEFT(Control!$D$23,1),"YES","-"),"-")</f>
        <v>YES</v>
      </c>
      <c r="H132" s="549" t="str">
        <f>IF(INDEX('Weather Cases'!$G$10:$G$94,MATCH('Load Criteria'!X132,'Weather Cases'!$H$10:$H$94,0),1)="H","YES","")</f>
        <v>YES</v>
      </c>
      <c r="I132" s="557" t="s">
        <v>309</v>
      </c>
      <c r="J132" s="550">
        <f t="shared" si="31"/>
        <v>300</v>
      </c>
      <c r="K132" s="550" t="s">
        <v>88</v>
      </c>
      <c r="L132" s="550"/>
      <c r="M132" s="550"/>
      <c r="N132" s="550"/>
      <c r="O132" s="550"/>
      <c r="P132" s="392"/>
      <c r="Q132" s="392"/>
      <c r="R132" s="392"/>
      <c r="S132" s="392"/>
      <c r="T132" s="392"/>
      <c r="U132" s="550" t="str">
        <f t="shared" ref="U132:V149" si="42">U105</f>
        <v>BI+</v>
      </c>
      <c r="V132" s="560">
        <f t="shared" si="42"/>
        <v>90</v>
      </c>
      <c r="W132" s="542" t="str">
        <f t="shared" si="15"/>
        <v>MT0300_A8+E BI++90</v>
      </c>
      <c r="X132" s="552" t="str">
        <f>I132&amp;TEXT(J132,"0000")&amp;"_"&amp;LEFT(Control!$D$23,1)&amp;LEFT(Control!$D$22,LEN(Control!$D$22)-2)</f>
        <v>MT0300_A8</v>
      </c>
      <c r="Y132" s="552" t="s">
        <v>433</v>
      </c>
      <c r="Z132" s="552" t="str">
        <f t="shared" ref="Z132:Z149" si="43">U132</f>
        <v>BI+</v>
      </c>
      <c r="AA132" s="552">
        <f t="shared" ref="AA132:AA149" si="44">V132</f>
        <v>90</v>
      </c>
      <c r="AB132" s="552">
        <v>1</v>
      </c>
      <c r="AC132" s="552">
        <v>1</v>
      </c>
      <c r="AD132" s="552">
        <v>1</v>
      </c>
      <c r="AE132" s="552">
        <v>1</v>
      </c>
      <c r="AF132" s="552">
        <v>1</v>
      </c>
      <c r="AG132" s="542" t="s">
        <v>561</v>
      </c>
      <c r="AH132" s="552">
        <v>0</v>
      </c>
      <c r="AI132" s="552">
        <v>0</v>
      </c>
      <c r="AJ132" s="552">
        <v>1</v>
      </c>
      <c r="AK132" s="552">
        <v>1</v>
      </c>
      <c r="AL132" s="552">
        <v>1</v>
      </c>
      <c r="AM132" s="552">
        <v>0</v>
      </c>
      <c r="AN132" s="552">
        <v>0</v>
      </c>
      <c r="AO132" s="552">
        <v>1</v>
      </c>
      <c r="AP132" s="552">
        <v>1</v>
      </c>
      <c r="AQ132" s="552">
        <v>1</v>
      </c>
      <c r="AR132" s="552">
        <v>1</v>
      </c>
      <c r="AS132" s="552">
        <v>1</v>
      </c>
      <c r="AT132" s="552">
        <v>1</v>
      </c>
      <c r="AU132" s="552">
        <v>1</v>
      </c>
      <c r="AV132" s="553" t="str">
        <f>IF(H132="YES","'"&amp;INDEX('Structure Groups'!$C$12:$C$14,MATCH('Load Criteria'!$B$5,'Structure Groups'!$B$12:$B$14,0),1)&amp;"'","'All'")</f>
        <v>'GL Max 800m'</v>
      </c>
      <c r="AW132" s="552" t="s">
        <v>562</v>
      </c>
      <c r="AX132" s="552"/>
      <c r="AY132" s="552" t="str">
        <f t="shared" si="32"/>
        <v>No</v>
      </c>
      <c r="AZ132" s="554" t="str">
        <f t="shared" si="33"/>
        <v/>
      </c>
      <c r="BA132" s="554" t="str">
        <f t="shared" ref="BA132:BA149" si="45">IF(AZ132="","","% Wire Wind Pressure")</f>
        <v/>
      </c>
      <c r="BB132" s="552" t="str">
        <f t="shared" ref="BB132:BB149" si="46">IF(AZ132="","",75)</f>
        <v/>
      </c>
      <c r="BC132" s="554"/>
      <c r="BD132" s="552"/>
      <c r="BE132" s="554"/>
      <c r="BF132" s="554"/>
      <c r="BG132" s="554"/>
      <c r="BH132" s="554"/>
      <c r="BI132" s="554"/>
      <c r="BJ132" s="554"/>
      <c r="BK132" s="554"/>
      <c r="BL132" s="554"/>
      <c r="BM132" s="554"/>
      <c r="BN132" s="554"/>
      <c r="BO132" s="554"/>
      <c r="BP132" s="554"/>
      <c r="BQ132" s="554"/>
      <c r="BR132" s="554"/>
      <c r="BS132" s="554"/>
      <c r="BT132" s="554"/>
      <c r="BU132" s="554"/>
      <c r="BV132" s="554"/>
      <c r="BW132" s="554"/>
      <c r="BX132" s="554"/>
      <c r="BY132" s="554"/>
      <c r="BZ132" s="554"/>
      <c r="CA132" s="554"/>
      <c r="CB132" s="554"/>
      <c r="CC132" s="554"/>
      <c r="CD132" s="554"/>
      <c r="CE132" s="554"/>
      <c r="CF132" s="554"/>
      <c r="CG132" s="554"/>
      <c r="CH132" s="554"/>
      <c r="CI132" s="554"/>
      <c r="CJ132" s="554"/>
      <c r="CK132" s="554"/>
      <c r="CL132" s="554"/>
      <c r="CM132" s="554"/>
      <c r="CN132" s="554"/>
      <c r="CO132" s="554"/>
      <c r="CP132" s="554"/>
      <c r="CQ132" s="554"/>
      <c r="CR132" s="554"/>
      <c r="CS132" s="554"/>
      <c r="CT132" s="554"/>
      <c r="CU132" s="554"/>
      <c r="CV132" s="554"/>
      <c r="CW132" s="554"/>
      <c r="CX132" s="554"/>
      <c r="CY132" s="554"/>
      <c r="CZ132" s="554"/>
      <c r="DA132" s="554"/>
      <c r="DB132" s="554"/>
      <c r="DC132" s="554"/>
      <c r="DD132" s="554"/>
      <c r="DE132" s="534"/>
      <c r="DF132" s="534"/>
      <c r="DG132" s="534"/>
    </row>
    <row r="133" spans="1:111" ht="15" x14ac:dyDescent="0.25">
      <c r="A133" s="549">
        <f>IF(Control!$D$5="Y","-",1)</f>
        <v>1</v>
      </c>
      <c r="B133" s="555" t="s">
        <v>558</v>
      </c>
      <c r="C133" s="555" t="s">
        <v>559</v>
      </c>
      <c r="D133" s="555" t="s">
        <v>563</v>
      </c>
      <c r="E133" s="556" t="s">
        <v>22</v>
      </c>
      <c r="F133" s="556" t="s">
        <v>22</v>
      </c>
      <c r="G133" s="556" t="str">
        <f>IFERROR(IF(MID('Load Criteria'!X133,FIND("_",'Load Criteria'!X133,1)+1,1)=LEFT(Control!$D$23,1),"YES","-"),"-")</f>
        <v>YES</v>
      </c>
      <c r="H133" s="549" t="str">
        <f>IF(INDEX('Weather Cases'!$G$10:$G$94,MATCH('Load Criteria'!X133,'Weather Cases'!$H$10:$H$94,0),1)="H","YES","")</f>
        <v>YES</v>
      </c>
      <c r="I133" s="557" t="s">
        <v>309</v>
      </c>
      <c r="J133" s="550">
        <f t="shared" si="31"/>
        <v>300</v>
      </c>
      <c r="K133" s="550" t="s">
        <v>88</v>
      </c>
      <c r="L133" s="550"/>
      <c r="M133" s="550"/>
      <c r="N133" s="550"/>
      <c r="O133" s="550"/>
      <c r="P133" s="392"/>
      <c r="Q133" s="392"/>
      <c r="R133" s="392"/>
      <c r="S133" s="392"/>
      <c r="T133" s="392"/>
      <c r="U133" s="550" t="str">
        <f t="shared" si="42"/>
        <v>BI+</v>
      </c>
      <c r="V133" s="560">
        <f t="shared" si="42"/>
        <v>45</v>
      </c>
      <c r="W133" s="542" t="str">
        <f t="shared" si="15"/>
        <v>MT0300_A8+E BI++45</v>
      </c>
      <c r="X133" s="552" t="str">
        <f>I133&amp;TEXT(J133,"0000")&amp;"_"&amp;LEFT(Control!$D$23,1)&amp;LEFT(Control!$D$22,LEN(Control!$D$22)-2)</f>
        <v>MT0300_A8</v>
      </c>
      <c r="Y133" s="552" t="s">
        <v>433</v>
      </c>
      <c r="Z133" s="552" t="str">
        <f t="shared" si="43"/>
        <v>BI+</v>
      </c>
      <c r="AA133" s="552">
        <f t="shared" si="44"/>
        <v>45</v>
      </c>
      <c r="AB133" s="552">
        <v>1</v>
      </c>
      <c r="AC133" s="552">
        <v>1</v>
      </c>
      <c r="AD133" s="552">
        <v>1</v>
      </c>
      <c r="AE133" s="552">
        <v>1</v>
      </c>
      <c r="AF133" s="552">
        <v>1</v>
      </c>
      <c r="AG133" s="542" t="s">
        <v>561</v>
      </c>
      <c r="AH133" s="552">
        <v>0</v>
      </c>
      <c r="AI133" s="552">
        <v>0</v>
      </c>
      <c r="AJ133" s="552">
        <v>1</v>
      </c>
      <c r="AK133" s="552">
        <v>1</v>
      </c>
      <c r="AL133" s="552">
        <v>1</v>
      </c>
      <c r="AM133" s="552">
        <v>0</v>
      </c>
      <c r="AN133" s="552">
        <v>0</v>
      </c>
      <c r="AO133" s="552">
        <v>1</v>
      </c>
      <c r="AP133" s="552">
        <v>1</v>
      </c>
      <c r="AQ133" s="552">
        <v>1</v>
      </c>
      <c r="AR133" s="552">
        <v>1</v>
      </c>
      <c r="AS133" s="552">
        <v>1</v>
      </c>
      <c r="AT133" s="552">
        <v>1</v>
      </c>
      <c r="AU133" s="552">
        <v>1</v>
      </c>
      <c r="AV133" s="553" t="str">
        <f>IF(H133="YES","'"&amp;INDEX('Structure Groups'!$C$12:$C$14,MATCH('Load Criteria'!$B$5,'Structure Groups'!$B$12:$B$14,0),1)&amp;"'","'All'")</f>
        <v>'GL Max 800m'</v>
      </c>
      <c r="AW133" s="552" t="s">
        <v>562</v>
      </c>
      <c r="AX133" s="552"/>
      <c r="AY133" s="552" t="str">
        <f t="shared" si="32"/>
        <v>No</v>
      </c>
      <c r="AZ133" s="554" t="str">
        <f t="shared" si="33"/>
        <v/>
      </c>
      <c r="BA133" s="554" t="str">
        <f t="shared" si="45"/>
        <v/>
      </c>
      <c r="BB133" s="552" t="str">
        <f t="shared" si="46"/>
        <v/>
      </c>
      <c r="BC133" s="554"/>
      <c r="BD133" s="552"/>
      <c r="BE133" s="554"/>
      <c r="BF133" s="554"/>
      <c r="BG133" s="554"/>
      <c r="BH133" s="554"/>
      <c r="BI133" s="554"/>
      <c r="BJ133" s="554"/>
      <c r="BK133" s="554"/>
      <c r="BL133" s="554"/>
      <c r="BM133" s="554"/>
      <c r="BN133" s="554"/>
      <c r="BO133" s="554"/>
      <c r="BP133" s="554"/>
      <c r="BQ133" s="554"/>
      <c r="BR133" s="554"/>
      <c r="BS133" s="554"/>
      <c r="BT133" s="554"/>
      <c r="BU133" s="554"/>
      <c r="BV133" s="554"/>
      <c r="BW133" s="554"/>
      <c r="BX133" s="554"/>
      <c r="BY133" s="554"/>
      <c r="BZ133" s="554"/>
      <c r="CA133" s="554"/>
      <c r="CB133" s="554"/>
      <c r="CC133" s="554"/>
      <c r="CD133" s="554"/>
      <c r="CE133" s="554"/>
      <c r="CF133" s="554"/>
      <c r="CG133" s="554"/>
      <c r="CH133" s="554"/>
      <c r="CI133" s="554"/>
      <c r="CJ133" s="554"/>
      <c r="CK133" s="554"/>
      <c r="CL133" s="554"/>
      <c r="CM133" s="554"/>
      <c r="CN133" s="554"/>
      <c r="CO133" s="554"/>
      <c r="CP133" s="554"/>
      <c r="CQ133" s="554"/>
      <c r="CR133" s="554"/>
      <c r="CS133" s="554"/>
      <c r="CT133" s="554"/>
      <c r="CU133" s="554"/>
      <c r="CV133" s="554"/>
      <c r="CW133" s="554"/>
      <c r="CX133" s="554"/>
      <c r="CY133" s="554"/>
      <c r="CZ133" s="554"/>
      <c r="DA133" s="554"/>
      <c r="DB133" s="554"/>
      <c r="DC133" s="554"/>
      <c r="DD133" s="554"/>
      <c r="DE133" s="534"/>
      <c r="DF133" s="534"/>
      <c r="DG133" s="534"/>
    </row>
    <row r="134" spans="1:111" ht="15" x14ac:dyDescent="0.25">
      <c r="A134" s="549">
        <f>IF(Control!$D$5="Y","-",1)</f>
        <v>1</v>
      </c>
      <c r="B134" s="555" t="s">
        <v>558</v>
      </c>
      <c r="C134" s="555" t="s">
        <v>559</v>
      </c>
      <c r="D134" s="555" t="s">
        <v>563</v>
      </c>
      <c r="E134" s="556" t="s">
        <v>22</v>
      </c>
      <c r="F134" s="556" t="s">
        <v>22</v>
      </c>
      <c r="G134" s="556" t="str">
        <f>IFERROR(IF(MID('Load Criteria'!X134,FIND("_",'Load Criteria'!X134,1)+1,1)=LEFT(Control!$D$23,1),"YES","-"),"-")</f>
        <v>YES</v>
      </c>
      <c r="H134" s="549" t="str">
        <f>IF(INDEX('Weather Cases'!$G$10:$G$94,MATCH('Load Criteria'!X134,'Weather Cases'!$H$10:$H$94,0),1)="H","YES","")</f>
        <v>YES</v>
      </c>
      <c r="I134" s="557" t="s">
        <v>309</v>
      </c>
      <c r="J134" s="550">
        <f t="shared" si="31"/>
        <v>300</v>
      </c>
      <c r="K134" s="550" t="s">
        <v>88</v>
      </c>
      <c r="L134" s="550"/>
      <c r="M134" s="550"/>
      <c r="N134" s="550"/>
      <c r="O134" s="550"/>
      <c r="P134" s="392"/>
      <c r="Q134" s="392"/>
      <c r="R134" s="392"/>
      <c r="S134" s="392"/>
      <c r="T134" s="392"/>
      <c r="U134" s="550" t="str">
        <f t="shared" si="42"/>
        <v>BI+</v>
      </c>
      <c r="V134" s="560">
        <f t="shared" si="42"/>
        <v>30</v>
      </c>
      <c r="W134" s="542" t="str">
        <f t="shared" si="15"/>
        <v>MT0300_A8+E BI++30</v>
      </c>
      <c r="X134" s="552" t="str">
        <f>I134&amp;TEXT(J134,"0000")&amp;"_"&amp;LEFT(Control!$D$23,1)&amp;LEFT(Control!$D$22,LEN(Control!$D$22)-2)</f>
        <v>MT0300_A8</v>
      </c>
      <c r="Y134" s="552" t="s">
        <v>433</v>
      </c>
      <c r="Z134" s="552" t="str">
        <f t="shared" si="43"/>
        <v>BI+</v>
      </c>
      <c r="AA134" s="552">
        <f t="shared" si="44"/>
        <v>30</v>
      </c>
      <c r="AB134" s="552">
        <v>1</v>
      </c>
      <c r="AC134" s="552">
        <v>1</v>
      </c>
      <c r="AD134" s="552">
        <v>1</v>
      </c>
      <c r="AE134" s="552">
        <v>1</v>
      </c>
      <c r="AF134" s="552">
        <v>1</v>
      </c>
      <c r="AG134" s="542" t="s">
        <v>561</v>
      </c>
      <c r="AH134" s="552">
        <v>0</v>
      </c>
      <c r="AI134" s="552">
        <v>0</v>
      </c>
      <c r="AJ134" s="552">
        <v>1</v>
      </c>
      <c r="AK134" s="552">
        <v>1</v>
      </c>
      <c r="AL134" s="552">
        <v>1</v>
      </c>
      <c r="AM134" s="552">
        <v>0</v>
      </c>
      <c r="AN134" s="552">
        <v>0</v>
      </c>
      <c r="AO134" s="552">
        <v>1</v>
      </c>
      <c r="AP134" s="552">
        <v>1</v>
      </c>
      <c r="AQ134" s="552">
        <v>1</v>
      </c>
      <c r="AR134" s="552">
        <v>1</v>
      </c>
      <c r="AS134" s="552">
        <v>1</v>
      </c>
      <c r="AT134" s="552">
        <v>1</v>
      </c>
      <c r="AU134" s="552">
        <v>1</v>
      </c>
      <c r="AV134" s="553" t="str">
        <f>IF(H134="YES","'"&amp;INDEX('Structure Groups'!$C$12:$C$14,MATCH('Load Criteria'!$B$5,'Structure Groups'!$B$12:$B$14,0),1)&amp;"'","'All'")</f>
        <v>'GL Max 800m'</v>
      </c>
      <c r="AW134" s="552" t="s">
        <v>562</v>
      </c>
      <c r="AX134" s="552"/>
      <c r="AY134" s="552" t="str">
        <f t="shared" si="32"/>
        <v>No</v>
      </c>
      <c r="AZ134" s="554" t="str">
        <f t="shared" si="33"/>
        <v/>
      </c>
      <c r="BA134" s="554" t="str">
        <f t="shared" si="45"/>
        <v/>
      </c>
      <c r="BB134" s="552" t="str">
        <f t="shared" si="46"/>
        <v/>
      </c>
      <c r="BC134" s="554"/>
      <c r="BD134" s="552"/>
      <c r="BE134" s="554"/>
      <c r="BF134" s="554"/>
      <c r="BG134" s="554"/>
      <c r="BH134" s="554"/>
      <c r="BI134" s="554"/>
      <c r="BJ134" s="554"/>
      <c r="BK134" s="554"/>
      <c r="BL134" s="554"/>
      <c r="BM134" s="554"/>
      <c r="BN134" s="554"/>
      <c r="BO134" s="554"/>
      <c r="BP134" s="554"/>
      <c r="BQ134" s="554"/>
      <c r="BR134" s="554"/>
      <c r="BS134" s="554"/>
      <c r="BT134" s="554"/>
      <c r="BU134" s="554"/>
      <c r="BV134" s="554"/>
      <c r="BW134" s="554"/>
      <c r="BX134" s="554"/>
      <c r="BY134" s="554"/>
      <c r="BZ134" s="554"/>
      <c r="CA134" s="554"/>
      <c r="CB134" s="554"/>
      <c r="CC134" s="554"/>
      <c r="CD134" s="554"/>
      <c r="CE134" s="554"/>
      <c r="CF134" s="554"/>
      <c r="CG134" s="554"/>
      <c r="CH134" s="554"/>
      <c r="CI134" s="554"/>
      <c r="CJ134" s="554"/>
      <c r="CK134" s="554"/>
      <c r="CL134" s="554"/>
      <c r="CM134" s="554"/>
      <c r="CN134" s="554"/>
      <c r="CO134" s="554"/>
      <c r="CP134" s="554"/>
      <c r="CQ134" s="554"/>
      <c r="CR134" s="554"/>
      <c r="CS134" s="554"/>
      <c r="CT134" s="554"/>
      <c r="CU134" s="554"/>
      <c r="CV134" s="554"/>
      <c r="CW134" s="554"/>
      <c r="CX134" s="554"/>
      <c r="CY134" s="554"/>
      <c r="CZ134" s="554"/>
      <c r="DA134" s="554"/>
      <c r="DB134" s="554"/>
      <c r="DC134" s="554"/>
      <c r="DD134" s="554"/>
      <c r="DE134" s="534"/>
      <c r="DF134" s="534"/>
      <c r="DG134" s="534"/>
    </row>
    <row r="135" spans="1:111" ht="15" x14ac:dyDescent="0.25">
      <c r="A135" s="549">
        <f>IF(Control!$D$5="Y","-",1)</f>
        <v>1</v>
      </c>
      <c r="B135" s="555" t="s">
        <v>558</v>
      </c>
      <c r="C135" s="555" t="s">
        <v>559</v>
      </c>
      <c r="D135" s="555" t="s">
        <v>563</v>
      </c>
      <c r="E135" s="556" t="s">
        <v>22</v>
      </c>
      <c r="F135" s="556" t="s">
        <v>22</v>
      </c>
      <c r="G135" s="556" t="str">
        <f>IFERROR(IF(MID('Load Criteria'!X135,FIND("_",'Load Criteria'!X135,1)+1,1)=LEFT(Control!$D$23,1),"YES","-"),"-")</f>
        <v>YES</v>
      </c>
      <c r="H135" s="549" t="str">
        <f>IF(INDEX('Weather Cases'!$G$10:$G$94,MATCH('Load Criteria'!X135,'Weather Cases'!$H$10:$H$94,0),1)="H","YES","")</f>
        <v>YES</v>
      </c>
      <c r="I135" s="557" t="s">
        <v>309</v>
      </c>
      <c r="J135" s="550">
        <f t="shared" si="31"/>
        <v>300</v>
      </c>
      <c r="K135" s="550" t="s">
        <v>88</v>
      </c>
      <c r="L135" s="550"/>
      <c r="M135" s="550"/>
      <c r="N135" s="550"/>
      <c r="O135" s="550"/>
      <c r="P135" s="392"/>
      <c r="Q135" s="392"/>
      <c r="R135" s="392"/>
      <c r="S135" s="392"/>
      <c r="T135" s="392"/>
      <c r="U135" s="550" t="str">
        <f t="shared" si="42"/>
        <v>BI+</v>
      </c>
      <c r="V135" s="560">
        <f t="shared" si="42"/>
        <v>15</v>
      </c>
      <c r="W135" s="542" t="str">
        <f t="shared" si="15"/>
        <v>MT0300_A8+E BI++15</v>
      </c>
      <c r="X135" s="552" t="str">
        <f>I135&amp;TEXT(J135,"0000")&amp;"_"&amp;LEFT(Control!$D$23,1)&amp;LEFT(Control!$D$22,LEN(Control!$D$22)-2)</f>
        <v>MT0300_A8</v>
      </c>
      <c r="Y135" s="552" t="s">
        <v>433</v>
      </c>
      <c r="Z135" s="552" t="str">
        <f t="shared" si="43"/>
        <v>BI+</v>
      </c>
      <c r="AA135" s="552">
        <f t="shared" si="44"/>
        <v>15</v>
      </c>
      <c r="AB135" s="552">
        <v>1</v>
      </c>
      <c r="AC135" s="552">
        <v>1</v>
      </c>
      <c r="AD135" s="552">
        <v>1</v>
      </c>
      <c r="AE135" s="552">
        <v>1</v>
      </c>
      <c r="AF135" s="552">
        <v>1</v>
      </c>
      <c r="AG135" s="542" t="s">
        <v>561</v>
      </c>
      <c r="AH135" s="552">
        <v>0</v>
      </c>
      <c r="AI135" s="552">
        <v>0</v>
      </c>
      <c r="AJ135" s="552">
        <v>1</v>
      </c>
      <c r="AK135" s="552">
        <v>1</v>
      </c>
      <c r="AL135" s="552">
        <v>1</v>
      </c>
      <c r="AM135" s="552">
        <v>0</v>
      </c>
      <c r="AN135" s="552">
        <v>0</v>
      </c>
      <c r="AO135" s="552">
        <v>1</v>
      </c>
      <c r="AP135" s="552">
        <v>1</v>
      </c>
      <c r="AQ135" s="552">
        <v>1</v>
      </c>
      <c r="AR135" s="552">
        <v>1</v>
      </c>
      <c r="AS135" s="552">
        <v>1</v>
      </c>
      <c r="AT135" s="552">
        <v>1</v>
      </c>
      <c r="AU135" s="552">
        <v>1</v>
      </c>
      <c r="AV135" s="553" t="str">
        <f>IF(H135="YES","'"&amp;INDEX('Structure Groups'!$C$12:$C$14,MATCH('Load Criteria'!$B$5,'Structure Groups'!$B$12:$B$14,0),1)&amp;"'","'All'")</f>
        <v>'GL Max 800m'</v>
      </c>
      <c r="AW135" s="552" t="s">
        <v>562</v>
      </c>
      <c r="AX135" s="552"/>
      <c r="AY135" s="552" t="str">
        <f t="shared" si="32"/>
        <v>No</v>
      </c>
      <c r="AZ135" s="554" t="str">
        <f t="shared" si="33"/>
        <v/>
      </c>
      <c r="BA135" s="554" t="str">
        <f t="shared" si="45"/>
        <v/>
      </c>
      <c r="BB135" s="552" t="str">
        <f t="shared" si="46"/>
        <v/>
      </c>
      <c r="BC135" s="554"/>
      <c r="BD135" s="552"/>
      <c r="BE135" s="554"/>
      <c r="BF135" s="554"/>
      <c r="BG135" s="554"/>
      <c r="BH135" s="554"/>
      <c r="BI135" s="554"/>
      <c r="BJ135" s="554"/>
      <c r="BK135" s="554"/>
      <c r="BL135" s="554"/>
      <c r="BM135" s="554"/>
      <c r="BN135" s="554"/>
      <c r="BO135" s="554"/>
      <c r="BP135" s="554"/>
      <c r="BQ135" s="554"/>
      <c r="BR135" s="554"/>
      <c r="BS135" s="554"/>
      <c r="BT135" s="554"/>
      <c r="BU135" s="554"/>
      <c r="BV135" s="554"/>
      <c r="BW135" s="554"/>
      <c r="BX135" s="554"/>
      <c r="BY135" s="554"/>
      <c r="BZ135" s="554"/>
      <c r="CA135" s="554"/>
      <c r="CB135" s="554"/>
      <c r="CC135" s="554"/>
      <c r="CD135" s="554"/>
      <c r="CE135" s="554"/>
      <c r="CF135" s="554"/>
      <c r="CG135" s="554"/>
      <c r="CH135" s="554"/>
      <c r="CI135" s="554"/>
      <c r="CJ135" s="554"/>
      <c r="CK135" s="554"/>
      <c r="CL135" s="554"/>
      <c r="CM135" s="554"/>
      <c r="CN135" s="554"/>
      <c r="CO135" s="554"/>
      <c r="CP135" s="554"/>
      <c r="CQ135" s="554"/>
      <c r="CR135" s="554"/>
      <c r="CS135" s="554"/>
      <c r="CT135" s="554"/>
      <c r="CU135" s="554"/>
      <c r="CV135" s="554"/>
      <c r="CW135" s="554"/>
      <c r="CX135" s="554"/>
      <c r="CY135" s="554"/>
      <c r="CZ135" s="554"/>
      <c r="DA135" s="554"/>
      <c r="DB135" s="554"/>
      <c r="DC135" s="554"/>
      <c r="DD135" s="554"/>
      <c r="DE135" s="534"/>
      <c r="DF135" s="534"/>
      <c r="DG135" s="534"/>
    </row>
    <row r="136" spans="1:111" ht="15" x14ac:dyDescent="0.25">
      <c r="A136" s="549">
        <f>IF(Control!$D$5="Y","-",1)</f>
        <v>1</v>
      </c>
      <c r="B136" s="555" t="s">
        <v>558</v>
      </c>
      <c r="C136" s="555" t="s">
        <v>559</v>
      </c>
      <c r="D136" s="555" t="s">
        <v>563</v>
      </c>
      <c r="E136" s="556" t="s">
        <v>22</v>
      </c>
      <c r="F136" s="556" t="s">
        <v>22</v>
      </c>
      <c r="G136" s="556" t="str">
        <f>IFERROR(IF(MID('Load Criteria'!X136,FIND("_",'Load Criteria'!X136,1)+1,1)=LEFT(Control!$D$23,1),"YES","-"),"-")</f>
        <v>YES</v>
      </c>
      <c r="H136" s="549" t="str">
        <f>IF(INDEX('Weather Cases'!$G$10:$G$94,MATCH('Load Criteria'!X136,'Weather Cases'!$H$10:$H$94,0),1)="H","YES","")</f>
        <v>YES</v>
      </c>
      <c r="I136" s="557" t="s">
        <v>309</v>
      </c>
      <c r="J136" s="550">
        <f t="shared" si="31"/>
        <v>300</v>
      </c>
      <c r="K136" s="550" t="s">
        <v>88</v>
      </c>
      <c r="L136" s="550"/>
      <c r="M136" s="550"/>
      <c r="N136" s="550"/>
      <c r="O136" s="550"/>
      <c r="P136" s="392"/>
      <c r="Q136" s="392"/>
      <c r="R136" s="392"/>
      <c r="S136" s="392"/>
      <c r="T136" s="392"/>
      <c r="U136" s="550" t="str">
        <f t="shared" si="42"/>
        <v>BI+</v>
      </c>
      <c r="V136" s="560">
        <f t="shared" si="42"/>
        <v>0</v>
      </c>
      <c r="W136" s="542" t="str">
        <f t="shared" si="15"/>
        <v>MT0300_A8+E BI++00</v>
      </c>
      <c r="X136" s="552" t="str">
        <f>I136&amp;TEXT(J136,"0000")&amp;"_"&amp;LEFT(Control!$D$23,1)&amp;LEFT(Control!$D$22,LEN(Control!$D$22)-2)</f>
        <v>MT0300_A8</v>
      </c>
      <c r="Y136" s="552" t="s">
        <v>433</v>
      </c>
      <c r="Z136" s="552" t="str">
        <f t="shared" si="43"/>
        <v>BI+</v>
      </c>
      <c r="AA136" s="552">
        <f t="shared" si="44"/>
        <v>0</v>
      </c>
      <c r="AB136" s="552">
        <v>1</v>
      </c>
      <c r="AC136" s="552">
        <v>1</v>
      </c>
      <c r="AD136" s="552">
        <v>1</v>
      </c>
      <c r="AE136" s="552">
        <v>1</v>
      </c>
      <c r="AF136" s="552">
        <v>1</v>
      </c>
      <c r="AG136" s="542" t="s">
        <v>561</v>
      </c>
      <c r="AH136" s="552">
        <v>0</v>
      </c>
      <c r="AI136" s="552">
        <v>0</v>
      </c>
      <c r="AJ136" s="552">
        <v>1</v>
      </c>
      <c r="AK136" s="552">
        <v>1</v>
      </c>
      <c r="AL136" s="552">
        <v>1</v>
      </c>
      <c r="AM136" s="552">
        <v>0</v>
      </c>
      <c r="AN136" s="552">
        <v>0</v>
      </c>
      <c r="AO136" s="552">
        <v>1</v>
      </c>
      <c r="AP136" s="552">
        <v>1</v>
      </c>
      <c r="AQ136" s="552">
        <v>1</v>
      </c>
      <c r="AR136" s="552">
        <v>1</v>
      </c>
      <c r="AS136" s="552">
        <v>1</v>
      </c>
      <c r="AT136" s="552">
        <v>1</v>
      </c>
      <c r="AU136" s="552">
        <v>1</v>
      </c>
      <c r="AV136" s="553" t="str">
        <f>IF(H136="YES","'"&amp;INDEX('Structure Groups'!$C$12:$C$14,MATCH('Load Criteria'!$B$5,'Structure Groups'!$B$12:$B$14,0),1)&amp;"'","'All'")</f>
        <v>'GL Max 800m'</v>
      </c>
      <c r="AW136" s="552" t="s">
        <v>562</v>
      </c>
      <c r="AX136" s="552"/>
      <c r="AY136" s="552" t="str">
        <f t="shared" si="32"/>
        <v>No</v>
      </c>
      <c r="AZ136" s="554" t="str">
        <f t="shared" si="33"/>
        <v/>
      </c>
      <c r="BA136" s="554" t="str">
        <f t="shared" si="45"/>
        <v/>
      </c>
      <c r="BB136" s="552" t="str">
        <f t="shared" si="46"/>
        <v/>
      </c>
      <c r="BC136" s="554"/>
      <c r="BD136" s="552"/>
      <c r="BE136" s="554"/>
      <c r="BF136" s="554"/>
      <c r="BG136" s="554"/>
      <c r="BH136" s="554"/>
      <c r="BI136" s="554"/>
      <c r="BJ136" s="554"/>
      <c r="BK136" s="554"/>
      <c r="BL136" s="554"/>
      <c r="BM136" s="554"/>
      <c r="BN136" s="554"/>
      <c r="BO136" s="554"/>
      <c r="BP136" s="554"/>
      <c r="BQ136" s="554"/>
      <c r="BR136" s="554"/>
      <c r="BS136" s="554"/>
      <c r="BT136" s="554"/>
      <c r="BU136" s="554"/>
      <c r="BV136" s="554"/>
      <c r="BW136" s="554"/>
      <c r="BX136" s="554"/>
      <c r="BY136" s="554"/>
      <c r="BZ136" s="554"/>
      <c r="CA136" s="554"/>
      <c r="CB136" s="554"/>
      <c r="CC136" s="554"/>
      <c r="CD136" s="554"/>
      <c r="CE136" s="554"/>
      <c r="CF136" s="554"/>
      <c r="CG136" s="554"/>
      <c r="CH136" s="554"/>
      <c r="CI136" s="554"/>
      <c r="CJ136" s="554"/>
      <c r="CK136" s="554"/>
      <c r="CL136" s="554"/>
      <c r="CM136" s="554"/>
      <c r="CN136" s="554"/>
      <c r="CO136" s="554"/>
      <c r="CP136" s="554"/>
      <c r="CQ136" s="554"/>
      <c r="CR136" s="554"/>
      <c r="CS136" s="554"/>
      <c r="CT136" s="554"/>
      <c r="CU136" s="554"/>
      <c r="CV136" s="554"/>
      <c r="CW136" s="554"/>
      <c r="CX136" s="554"/>
      <c r="CY136" s="554"/>
      <c r="CZ136" s="554"/>
      <c r="DA136" s="554"/>
      <c r="DB136" s="554"/>
      <c r="DC136" s="554"/>
      <c r="DD136" s="554"/>
      <c r="DE136" s="534"/>
      <c r="DF136" s="534"/>
      <c r="DG136" s="534"/>
    </row>
    <row r="137" spans="1:111" ht="15" x14ac:dyDescent="0.25">
      <c r="A137" s="549">
        <f>IF(Control!$D$5="Y","-",1)</f>
        <v>1</v>
      </c>
      <c r="B137" s="555" t="s">
        <v>558</v>
      </c>
      <c r="C137" s="555" t="s">
        <v>559</v>
      </c>
      <c r="D137" s="555" t="s">
        <v>563</v>
      </c>
      <c r="E137" s="556" t="s">
        <v>22</v>
      </c>
      <c r="F137" s="556" t="s">
        <v>22</v>
      </c>
      <c r="G137" s="556" t="str">
        <f>IFERROR(IF(MID('Load Criteria'!X137,FIND("_",'Load Criteria'!X137,1)+1,1)=LEFT(Control!$D$23,1),"YES","-"),"-")</f>
        <v>YES</v>
      </c>
      <c r="H137" s="549" t="str">
        <f>IF(INDEX('Weather Cases'!$G$10:$G$94,MATCH('Load Criteria'!X137,'Weather Cases'!$H$10:$H$94,0),1)="H","YES","")</f>
        <v>YES</v>
      </c>
      <c r="I137" s="557" t="s">
        <v>309</v>
      </c>
      <c r="J137" s="550">
        <f t="shared" si="31"/>
        <v>300</v>
      </c>
      <c r="K137" s="550" t="s">
        <v>88</v>
      </c>
      <c r="L137" s="550"/>
      <c r="M137" s="550"/>
      <c r="N137" s="550"/>
      <c r="O137" s="550"/>
      <c r="P137" s="392"/>
      <c r="Q137" s="392"/>
      <c r="R137" s="392"/>
      <c r="S137" s="392"/>
      <c r="T137" s="392"/>
      <c r="U137" s="550" t="str">
        <f t="shared" si="42"/>
        <v>BI+</v>
      </c>
      <c r="V137" s="560">
        <f t="shared" si="42"/>
        <v>-15</v>
      </c>
      <c r="W137" s="542" t="str">
        <f t="shared" si="15"/>
        <v>MT0300_A8+E BI+-15</v>
      </c>
      <c r="X137" s="552" t="str">
        <f>I137&amp;TEXT(J137,"0000")&amp;"_"&amp;LEFT(Control!$D$23,1)&amp;LEFT(Control!$D$22,LEN(Control!$D$22)-2)</f>
        <v>MT0300_A8</v>
      </c>
      <c r="Y137" s="552" t="s">
        <v>433</v>
      </c>
      <c r="Z137" s="552" t="str">
        <f t="shared" si="43"/>
        <v>BI+</v>
      </c>
      <c r="AA137" s="552">
        <f t="shared" si="44"/>
        <v>-15</v>
      </c>
      <c r="AB137" s="552">
        <v>1</v>
      </c>
      <c r="AC137" s="552">
        <v>1</v>
      </c>
      <c r="AD137" s="552">
        <v>1</v>
      </c>
      <c r="AE137" s="552">
        <v>1</v>
      </c>
      <c r="AF137" s="552">
        <v>1</v>
      </c>
      <c r="AG137" s="542" t="s">
        <v>561</v>
      </c>
      <c r="AH137" s="552">
        <v>0</v>
      </c>
      <c r="AI137" s="552">
        <v>0</v>
      </c>
      <c r="AJ137" s="552">
        <v>1</v>
      </c>
      <c r="AK137" s="552">
        <v>1</v>
      </c>
      <c r="AL137" s="552">
        <v>1</v>
      </c>
      <c r="AM137" s="552">
        <v>0</v>
      </c>
      <c r="AN137" s="552">
        <v>0</v>
      </c>
      <c r="AO137" s="552">
        <v>1</v>
      </c>
      <c r="AP137" s="552">
        <v>1</v>
      </c>
      <c r="AQ137" s="552">
        <v>1</v>
      </c>
      <c r="AR137" s="552">
        <v>1</v>
      </c>
      <c r="AS137" s="552">
        <v>1</v>
      </c>
      <c r="AT137" s="552">
        <v>1</v>
      </c>
      <c r="AU137" s="552">
        <v>1</v>
      </c>
      <c r="AV137" s="553" t="str">
        <f>IF(H137="YES","'"&amp;INDEX('Structure Groups'!$C$12:$C$14,MATCH('Load Criteria'!$B$5,'Structure Groups'!$B$12:$B$14,0),1)&amp;"'","'All'")</f>
        <v>'GL Max 800m'</v>
      </c>
      <c r="AW137" s="552" t="s">
        <v>562</v>
      </c>
      <c r="AX137" s="552"/>
      <c r="AY137" s="552" t="str">
        <f t="shared" si="32"/>
        <v>No</v>
      </c>
      <c r="AZ137" s="554" t="str">
        <f t="shared" si="33"/>
        <v/>
      </c>
      <c r="BA137" s="554" t="str">
        <f t="shared" si="45"/>
        <v/>
      </c>
      <c r="BB137" s="552" t="str">
        <f t="shared" si="46"/>
        <v/>
      </c>
      <c r="BC137" s="554"/>
      <c r="BD137" s="552"/>
      <c r="BE137" s="554"/>
      <c r="BF137" s="554"/>
      <c r="BG137" s="554"/>
      <c r="BH137" s="554"/>
      <c r="BI137" s="554"/>
      <c r="BJ137" s="554"/>
      <c r="BK137" s="554"/>
      <c r="BL137" s="554"/>
      <c r="BM137" s="554"/>
      <c r="BN137" s="554"/>
      <c r="BO137" s="554"/>
      <c r="BP137" s="554"/>
      <c r="BQ137" s="554"/>
      <c r="BR137" s="554"/>
      <c r="BS137" s="554"/>
      <c r="BT137" s="554"/>
      <c r="BU137" s="554"/>
      <c r="BV137" s="554"/>
      <c r="BW137" s="554"/>
      <c r="BX137" s="554"/>
      <c r="BY137" s="554"/>
      <c r="BZ137" s="554"/>
      <c r="CA137" s="554"/>
      <c r="CB137" s="554"/>
      <c r="CC137" s="554"/>
      <c r="CD137" s="554"/>
      <c r="CE137" s="554"/>
      <c r="CF137" s="554"/>
      <c r="CG137" s="554"/>
      <c r="CH137" s="554"/>
      <c r="CI137" s="554"/>
      <c r="CJ137" s="554"/>
      <c r="CK137" s="554"/>
      <c r="CL137" s="554"/>
      <c r="CM137" s="554"/>
      <c r="CN137" s="554"/>
      <c r="CO137" s="554"/>
      <c r="CP137" s="554"/>
      <c r="CQ137" s="554"/>
      <c r="CR137" s="554"/>
      <c r="CS137" s="554"/>
      <c r="CT137" s="554"/>
      <c r="CU137" s="554"/>
      <c r="CV137" s="554"/>
      <c r="CW137" s="554"/>
      <c r="CX137" s="554"/>
      <c r="CY137" s="554"/>
      <c r="CZ137" s="554"/>
      <c r="DA137" s="554"/>
      <c r="DB137" s="554"/>
      <c r="DC137" s="554"/>
      <c r="DD137" s="554"/>
      <c r="DE137" s="534"/>
      <c r="DF137" s="534"/>
      <c r="DG137" s="534"/>
    </row>
    <row r="138" spans="1:111" ht="15" x14ac:dyDescent="0.25">
      <c r="A138" s="549">
        <f>IF(Control!$D$5="Y","-",1)</f>
        <v>1</v>
      </c>
      <c r="B138" s="555" t="s">
        <v>558</v>
      </c>
      <c r="C138" s="555" t="s">
        <v>559</v>
      </c>
      <c r="D138" s="555" t="s">
        <v>563</v>
      </c>
      <c r="E138" s="556" t="s">
        <v>22</v>
      </c>
      <c r="F138" s="556" t="s">
        <v>22</v>
      </c>
      <c r="G138" s="556" t="str">
        <f>IFERROR(IF(MID('Load Criteria'!X138,FIND("_",'Load Criteria'!X138,1)+1,1)=LEFT(Control!$D$23,1),"YES","-"),"-")</f>
        <v>YES</v>
      </c>
      <c r="H138" s="549" t="str">
        <f>IF(INDEX('Weather Cases'!$G$10:$G$94,MATCH('Load Criteria'!X138,'Weather Cases'!$H$10:$H$94,0),1)="H","YES","")</f>
        <v>YES</v>
      </c>
      <c r="I138" s="557" t="s">
        <v>309</v>
      </c>
      <c r="J138" s="550">
        <f t="shared" si="31"/>
        <v>300</v>
      </c>
      <c r="K138" s="550" t="s">
        <v>88</v>
      </c>
      <c r="L138" s="550"/>
      <c r="M138" s="550"/>
      <c r="N138" s="550"/>
      <c r="O138" s="550"/>
      <c r="P138" s="392"/>
      <c r="Q138" s="392"/>
      <c r="R138" s="392"/>
      <c r="S138" s="392"/>
      <c r="T138" s="392"/>
      <c r="U138" s="550" t="str">
        <f t="shared" si="42"/>
        <v>BI+</v>
      </c>
      <c r="V138" s="560">
        <f t="shared" si="42"/>
        <v>-30</v>
      </c>
      <c r="W138" s="542" t="str">
        <f t="shared" si="15"/>
        <v>MT0300_A8+E BI+-30</v>
      </c>
      <c r="X138" s="552" t="str">
        <f>I138&amp;TEXT(J138,"0000")&amp;"_"&amp;LEFT(Control!$D$23,1)&amp;LEFT(Control!$D$22,LEN(Control!$D$22)-2)</f>
        <v>MT0300_A8</v>
      </c>
      <c r="Y138" s="552" t="s">
        <v>433</v>
      </c>
      <c r="Z138" s="552" t="str">
        <f t="shared" si="43"/>
        <v>BI+</v>
      </c>
      <c r="AA138" s="552">
        <f t="shared" si="44"/>
        <v>-30</v>
      </c>
      <c r="AB138" s="552">
        <v>1</v>
      </c>
      <c r="AC138" s="552">
        <v>1</v>
      </c>
      <c r="AD138" s="552">
        <v>1</v>
      </c>
      <c r="AE138" s="552">
        <v>1</v>
      </c>
      <c r="AF138" s="552">
        <v>1</v>
      </c>
      <c r="AG138" s="542" t="s">
        <v>561</v>
      </c>
      <c r="AH138" s="552">
        <v>0</v>
      </c>
      <c r="AI138" s="552">
        <v>0</v>
      </c>
      <c r="AJ138" s="552">
        <v>1</v>
      </c>
      <c r="AK138" s="552">
        <v>1</v>
      </c>
      <c r="AL138" s="552">
        <v>1</v>
      </c>
      <c r="AM138" s="552">
        <v>0</v>
      </c>
      <c r="AN138" s="552">
        <v>0</v>
      </c>
      <c r="AO138" s="552">
        <v>1</v>
      </c>
      <c r="AP138" s="552">
        <v>1</v>
      </c>
      <c r="AQ138" s="552">
        <v>1</v>
      </c>
      <c r="AR138" s="552">
        <v>1</v>
      </c>
      <c r="AS138" s="552">
        <v>1</v>
      </c>
      <c r="AT138" s="552">
        <v>1</v>
      </c>
      <c r="AU138" s="552">
        <v>1</v>
      </c>
      <c r="AV138" s="553" t="str">
        <f>IF(H138="YES","'"&amp;INDEX('Structure Groups'!$C$12:$C$14,MATCH('Load Criteria'!$B$5,'Structure Groups'!$B$12:$B$14,0),1)&amp;"'","'All'")</f>
        <v>'GL Max 800m'</v>
      </c>
      <c r="AW138" s="552" t="s">
        <v>562</v>
      </c>
      <c r="AX138" s="552"/>
      <c r="AY138" s="552" t="str">
        <f t="shared" si="32"/>
        <v>No</v>
      </c>
      <c r="AZ138" s="554" t="str">
        <f t="shared" si="33"/>
        <v/>
      </c>
      <c r="BA138" s="554" t="str">
        <f t="shared" si="45"/>
        <v/>
      </c>
      <c r="BB138" s="552" t="str">
        <f t="shared" si="46"/>
        <v/>
      </c>
      <c r="BC138" s="554"/>
      <c r="BD138" s="552"/>
      <c r="BE138" s="554"/>
      <c r="BF138" s="554"/>
      <c r="BG138" s="554"/>
      <c r="BH138" s="554"/>
      <c r="BI138" s="554"/>
      <c r="BJ138" s="554"/>
      <c r="BK138" s="554"/>
      <c r="BL138" s="554"/>
      <c r="BM138" s="554"/>
      <c r="BN138" s="554"/>
      <c r="BO138" s="554"/>
      <c r="BP138" s="554"/>
      <c r="BQ138" s="554"/>
      <c r="BR138" s="554"/>
      <c r="BS138" s="554"/>
      <c r="BT138" s="554"/>
      <c r="BU138" s="554"/>
      <c r="BV138" s="554"/>
      <c r="BW138" s="554"/>
      <c r="BX138" s="554"/>
      <c r="BY138" s="554"/>
      <c r="BZ138" s="554"/>
      <c r="CA138" s="554"/>
      <c r="CB138" s="554"/>
      <c r="CC138" s="554"/>
      <c r="CD138" s="554"/>
      <c r="CE138" s="554"/>
      <c r="CF138" s="554"/>
      <c r="CG138" s="554"/>
      <c r="CH138" s="554"/>
      <c r="CI138" s="554"/>
      <c r="CJ138" s="554"/>
      <c r="CK138" s="554"/>
      <c r="CL138" s="554"/>
      <c r="CM138" s="554"/>
      <c r="CN138" s="554"/>
      <c r="CO138" s="554"/>
      <c r="CP138" s="554"/>
      <c r="CQ138" s="554"/>
      <c r="CR138" s="554"/>
      <c r="CS138" s="554"/>
      <c r="CT138" s="554"/>
      <c r="CU138" s="554"/>
      <c r="CV138" s="554"/>
      <c r="CW138" s="554"/>
      <c r="CX138" s="554"/>
      <c r="CY138" s="554"/>
      <c r="CZ138" s="554"/>
      <c r="DA138" s="554"/>
      <c r="DB138" s="554"/>
      <c r="DC138" s="554"/>
      <c r="DD138" s="554"/>
      <c r="DE138" s="534"/>
      <c r="DF138" s="534"/>
      <c r="DG138" s="534"/>
    </row>
    <row r="139" spans="1:111" ht="15" x14ac:dyDescent="0.25">
      <c r="A139" s="549">
        <f>IF(Control!$D$5="Y","-",1)</f>
        <v>1</v>
      </c>
      <c r="B139" s="555" t="s">
        <v>558</v>
      </c>
      <c r="C139" s="555" t="s">
        <v>559</v>
      </c>
      <c r="D139" s="555" t="s">
        <v>563</v>
      </c>
      <c r="E139" s="556" t="s">
        <v>22</v>
      </c>
      <c r="F139" s="556" t="s">
        <v>22</v>
      </c>
      <c r="G139" s="556" t="str">
        <f>IFERROR(IF(MID('Load Criteria'!X139,FIND("_",'Load Criteria'!X139,1)+1,1)=LEFT(Control!$D$23,1),"YES","-"),"-")</f>
        <v>YES</v>
      </c>
      <c r="H139" s="549" t="str">
        <f>IF(INDEX('Weather Cases'!$G$10:$G$94,MATCH('Load Criteria'!X139,'Weather Cases'!$H$10:$H$94,0),1)="H","YES","")</f>
        <v>YES</v>
      </c>
      <c r="I139" s="557" t="s">
        <v>309</v>
      </c>
      <c r="J139" s="550">
        <f t="shared" si="31"/>
        <v>300</v>
      </c>
      <c r="K139" s="550" t="s">
        <v>88</v>
      </c>
      <c r="L139" s="550"/>
      <c r="M139" s="550"/>
      <c r="N139" s="550"/>
      <c r="O139" s="550"/>
      <c r="P139" s="392"/>
      <c r="Q139" s="392"/>
      <c r="R139" s="392"/>
      <c r="S139" s="392"/>
      <c r="T139" s="392"/>
      <c r="U139" s="550" t="str">
        <f t="shared" si="42"/>
        <v>BI+</v>
      </c>
      <c r="V139" s="560">
        <f t="shared" si="42"/>
        <v>-45</v>
      </c>
      <c r="W139" s="542" t="str">
        <f t="shared" si="15"/>
        <v>MT0300_A8+E BI+-45</v>
      </c>
      <c r="X139" s="552" t="str">
        <f>I139&amp;TEXT(J139,"0000")&amp;"_"&amp;LEFT(Control!$D$23,1)&amp;LEFT(Control!$D$22,LEN(Control!$D$22)-2)</f>
        <v>MT0300_A8</v>
      </c>
      <c r="Y139" s="552" t="s">
        <v>433</v>
      </c>
      <c r="Z139" s="552" t="str">
        <f t="shared" si="43"/>
        <v>BI+</v>
      </c>
      <c r="AA139" s="552">
        <f t="shared" si="44"/>
        <v>-45</v>
      </c>
      <c r="AB139" s="552">
        <v>1</v>
      </c>
      <c r="AC139" s="552">
        <v>1</v>
      </c>
      <c r="AD139" s="552">
        <v>1</v>
      </c>
      <c r="AE139" s="552">
        <v>1</v>
      </c>
      <c r="AF139" s="552">
        <v>1</v>
      </c>
      <c r="AG139" s="542" t="s">
        <v>561</v>
      </c>
      <c r="AH139" s="552">
        <v>0</v>
      </c>
      <c r="AI139" s="552">
        <v>0</v>
      </c>
      <c r="AJ139" s="552">
        <v>1</v>
      </c>
      <c r="AK139" s="552">
        <v>1</v>
      </c>
      <c r="AL139" s="552">
        <v>1</v>
      </c>
      <c r="AM139" s="552">
        <v>0</v>
      </c>
      <c r="AN139" s="552">
        <v>0</v>
      </c>
      <c r="AO139" s="552">
        <v>1</v>
      </c>
      <c r="AP139" s="552">
        <v>1</v>
      </c>
      <c r="AQ139" s="552">
        <v>1</v>
      </c>
      <c r="AR139" s="552">
        <v>1</v>
      </c>
      <c r="AS139" s="552">
        <v>1</v>
      </c>
      <c r="AT139" s="552">
        <v>1</v>
      </c>
      <c r="AU139" s="552">
        <v>1</v>
      </c>
      <c r="AV139" s="553" t="str">
        <f>IF(H139="YES","'"&amp;INDEX('Structure Groups'!$C$12:$C$14,MATCH('Load Criteria'!$B$5,'Structure Groups'!$B$12:$B$14,0),1)&amp;"'","'All'")</f>
        <v>'GL Max 800m'</v>
      </c>
      <c r="AW139" s="552" t="s">
        <v>562</v>
      </c>
      <c r="AX139" s="552"/>
      <c r="AY139" s="552" t="str">
        <f t="shared" si="32"/>
        <v>No</v>
      </c>
      <c r="AZ139" s="554" t="str">
        <f t="shared" si="33"/>
        <v/>
      </c>
      <c r="BA139" s="554" t="str">
        <f t="shared" si="45"/>
        <v/>
      </c>
      <c r="BB139" s="552" t="str">
        <f t="shared" si="46"/>
        <v/>
      </c>
      <c r="BC139" s="554"/>
      <c r="BD139" s="552"/>
      <c r="BE139" s="554"/>
      <c r="BF139" s="554"/>
      <c r="BG139" s="554"/>
      <c r="BH139" s="554"/>
      <c r="BI139" s="554"/>
      <c r="BJ139" s="554"/>
      <c r="BK139" s="554"/>
      <c r="BL139" s="554"/>
      <c r="BM139" s="554"/>
      <c r="BN139" s="554"/>
      <c r="BO139" s="554"/>
      <c r="BP139" s="554"/>
      <c r="BQ139" s="554"/>
      <c r="BR139" s="554"/>
      <c r="BS139" s="554"/>
      <c r="BT139" s="554"/>
      <c r="BU139" s="554"/>
      <c r="BV139" s="554"/>
      <c r="BW139" s="554"/>
      <c r="BX139" s="554"/>
      <c r="BY139" s="554"/>
      <c r="BZ139" s="554"/>
      <c r="CA139" s="554"/>
      <c r="CB139" s="554"/>
      <c r="CC139" s="554"/>
      <c r="CD139" s="554"/>
      <c r="CE139" s="554"/>
      <c r="CF139" s="554"/>
      <c r="CG139" s="554"/>
      <c r="CH139" s="554"/>
      <c r="CI139" s="554"/>
      <c r="CJ139" s="554"/>
      <c r="CK139" s="554"/>
      <c r="CL139" s="554"/>
      <c r="CM139" s="554"/>
      <c r="CN139" s="554"/>
      <c r="CO139" s="554"/>
      <c r="CP139" s="554"/>
      <c r="CQ139" s="554"/>
      <c r="CR139" s="554"/>
      <c r="CS139" s="554"/>
      <c r="CT139" s="554"/>
      <c r="CU139" s="554"/>
      <c r="CV139" s="554"/>
      <c r="CW139" s="554"/>
      <c r="CX139" s="554"/>
      <c r="CY139" s="554"/>
      <c r="CZ139" s="554"/>
      <c r="DA139" s="554"/>
      <c r="DB139" s="554"/>
      <c r="DC139" s="554"/>
      <c r="DD139" s="554"/>
      <c r="DE139" s="534"/>
      <c r="DF139" s="534"/>
      <c r="DG139" s="534"/>
    </row>
    <row r="140" spans="1:111" ht="15" x14ac:dyDescent="0.25">
      <c r="A140" s="549">
        <f>IF(Control!$D$5="Y","-",1)</f>
        <v>1</v>
      </c>
      <c r="B140" s="555" t="s">
        <v>558</v>
      </c>
      <c r="C140" s="555" t="s">
        <v>559</v>
      </c>
      <c r="D140" s="555" t="s">
        <v>563</v>
      </c>
      <c r="E140" s="556" t="s">
        <v>22</v>
      </c>
      <c r="F140" s="556" t="s">
        <v>22</v>
      </c>
      <c r="G140" s="556" t="str">
        <f>IFERROR(IF(MID('Load Criteria'!X140,FIND("_",'Load Criteria'!X140,1)+1,1)=LEFT(Control!$D$23,1),"YES","-"),"-")</f>
        <v>YES</v>
      </c>
      <c r="H140" s="549" t="str">
        <f>IF(INDEX('Weather Cases'!$G$10:$G$94,MATCH('Load Criteria'!X140,'Weather Cases'!$H$10:$H$94,0),1)="H","YES","")</f>
        <v>YES</v>
      </c>
      <c r="I140" s="557" t="s">
        <v>309</v>
      </c>
      <c r="J140" s="550">
        <f t="shared" si="31"/>
        <v>300</v>
      </c>
      <c r="K140" s="550" t="s">
        <v>88</v>
      </c>
      <c r="L140" s="550"/>
      <c r="M140" s="550"/>
      <c r="N140" s="550"/>
      <c r="O140" s="550"/>
      <c r="P140" s="392"/>
      <c r="Q140" s="392"/>
      <c r="R140" s="392"/>
      <c r="S140" s="392"/>
      <c r="T140" s="392"/>
      <c r="U140" s="550" t="str">
        <f t="shared" si="42"/>
        <v>BI+</v>
      </c>
      <c r="V140" s="560">
        <f t="shared" si="42"/>
        <v>-90</v>
      </c>
      <c r="W140" s="542" t="str">
        <f t="shared" si="15"/>
        <v>MT0300_A8+E BI+-90</v>
      </c>
      <c r="X140" s="552" t="str">
        <f>I140&amp;TEXT(J140,"0000")&amp;"_"&amp;LEFT(Control!$D$23,1)&amp;LEFT(Control!$D$22,LEN(Control!$D$22)-2)</f>
        <v>MT0300_A8</v>
      </c>
      <c r="Y140" s="552" t="s">
        <v>433</v>
      </c>
      <c r="Z140" s="552" t="str">
        <f t="shared" si="43"/>
        <v>BI+</v>
      </c>
      <c r="AA140" s="552">
        <f t="shared" si="44"/>
        <v>-90</v>
      </c>
      <c r="AB140" s="552">
        <v>1</v>
      </c>
      <c r="AC140" s="552">
        <v>1</v>
      </c>
      <c r="AD140" s="552">
        <v>1</v>
      </c>
      <c r="AE140" s="552">
        <v>1</v>
      </c>
      <c r="AF140" s="552">
        <v>1</v>
      </c>
      <c r="AG140" s="542" t="s">
        <v>561</v>
      </c>
      <c r="AH140" s="552">
        <v>0</v>
      </c>
      <c r="AI140" s="552">
        <v>0</v>
      </c>
      <c r="AJ140" s="552">
        <v>1</v>
      </c>
      <c r="AK140" s="552">
        <v>1</v>
      </c>
      <c r="AL140" s="552">
        <v>1</v>
      </c>
      <c r="AM140" s="552">
        <v>0</v>
      </c>
      <c r="AN140" s="552">
        <v>0</v>
      </c>
      <c r="AO140" s="552">
        <v>1</v>
      </c>
      <c r="AP140" s="552">
        <v>1</v>
      </c>
      <c r="AQ140" s="552">
        <v>1</v>
      </c>
      <c r="AR140" s="552">
        <v>1</v>
      </c>
      <c r="AS140" s="552">
        <v>1</v>
      </c>
      <c r="AT140" s="552">
        <v>1</v>
      </c>
      <c r="AU140" s="552">
        <v>1</v>
      </c>
      <c r="AV140" s="553" t="str">
        <f>IF(H140="YES","'"&amp;INDEX('Structure Groups'!$C$12:$C$14,MATCH('Load Criteria'!$B$5,'Structure Groups'!$B$12:$B$14,0),1)&amp;"'","'All'")</f>
        <v>'GL Max 800m'</v>
      </c>
      <c r="AW140" s="552" t="s">
        <v>562</v>
      </c>
      <c r="AX140" s="552"/>
      <c r="AY140" s="552" t="str">
        <f t="shared" si="32"/>
        <v>No</v>
      </c>
      <c r="AZ140" s="554" t="str">
        <f t="shared" si="33"/>
        <v/>
      </c>
      <c r="BA140" s="554" t="str">
        <f t="shared" si="45"/>
        <v/>
      </c>
      <c r="BB140" s="552" t="str">
        <f t="shared" si="46"/>
        <v/>
      </c>
      <c r="BC140" s="554"/>
      <c r="BD140" s="552"/>
      <c r="BE140" s="554"/>
      <c r="BF140" s="554"/>
      <c r="BG140" s="554"/>
      <c r="BH140" s="554"/>
      <c r="BI140" s="554"/>
      <c r="BJ140" s="554"/>
      <c r="BK140" s="554"/>
      <c r="BL140" s="554"/>
      <c r="BM140" s="554"/>
      <c r="BN140" s="554"/>
      <c r="BO140" s="554"/>
      <c r="BP140" s="554"/>
      <c r="BQ140" s="554"/>
      <c r="BR140" s="554"/>
      <c r="BS140" s="554"/>
      <c r="BT140" s="554"/>
      <c r="BU140" s="554"/>
      <c r="BV140" s="554"/>
      <c r="BW140" s="554"/>
      <c r="BX140" s="554"/>
      <c r="BY140" s="554"/>
      <c r="BZ140" s="554"/>
      <c r="CA140" s="554"/>
      <c r="CB140" s="554"/>
      <c r="CC140" s="554"/>
      <c r="CD140" s="554"/>
      <c r="CE140" s="554"/>
      <c r="CF140" s="554"/>
      <c r="CG140" s="554"/>
      <c r="CH140" s="554"/>
      <c r="CI140" s="554"/>
      <c r="CJ140" s="554"/>
      <c r="CK140" s="554"/>
      <c r="CL140" s="554"/>
      <c r="CM140" s="554"/>
      <c r="CN140" s="554"/>
      <c r="CO140" s="554"/>
      <c r="CP140" s="554"/>
      <c r="CQ140" s="554"/>
      <c r="CR140" s="554"/>
      <c r="CS140" s="554"/>
      <c r="CT140" s="554"/>
      <c r="CU140" s="554"/>
      <c r="CV140" s="554"/>
      <c r="CW140" s="554"/>
      <c r="CX140" s="554"/>
      <c r="CY140" s="554"/>
      <c r="CZ140" s="554"/>
      <c r="DA140" s="554"/>
      <c r="DB140" s="554"/>
      <c r="DC140" s="554"/>
      <c r="DD140" s="554"/>
      <c r="DE140" s="534"/>
      <c r="DF140" s="534"/>
      <c r="DG140" s="534"/>
    </row>
    <row r="141" spans="1:111" ht="15" x14ac:dyDescent="0.25">
      <c r="A141" s="549">
        <f>IF(Control!$D$5="Y","-",1)</f>
        <v>1</v>
      </c>
      <c r="B141" s="555" t="s">
        <v>558</v>
      </c>
      <c r="C141" s="555" t="s">
        <v>559</v>
      </c>
      <c r="D141" s="555" t="s">
        <v>563</v>
      </c>
      <c r="E141" s="556" t="s">
        <v>22</v>
      </c>
      <c r="F141" s="556" t="s">
        <v>22</v>
      </c>
      <c r="G141" s="556" t="str">
        <f>IFERROR(IF(MID('Load Criteria'!X141,FIND("_",'Load Criteria'!X141,1)+1,1)=LEFT(Control!$D$23,1),"YES","-"),"-")</f>
        <v>YES</v>
      </c>
      <c r="H141" s="549" t="str">
        <f>IF(INDEX('Weather Cases'!$G$10:$G$94,MATCH('Load Criteria'!X141,'Weather Cases'!$H$10:$H$94,0),1)="H","YES","")</f>
        <v>YES</v>
      </c>
      <c r="I141" s="557" t="s">
        <v>309</v>
      </c>
      <c r="J141" s="550">
        <f t="shared" si="31"/>
        <v>300</v>
      </c>
      <c r="K141" s="550" t="s">
        <v>88</v>
      </c>
      <c r="L141" s="550"/>
      <c r="M141" s="550"/>
      <c r="N141" s="550"/>
      <c r="O141" s="550"/>
      <c r="P141" s="392"/>
      <c r="Q141" s="392"/>
      <c r="R141" s="392"/>
      <c r="S141" s="392"/>
      <c r="T141" s="392"/>
      <c r="U141" s="550" t="str">
        <f t="shared" si="42"/>
        <v>BI-</v>
      </c>
      <c r="V141" s="560">
        <f t="shared" si="42"/>
        <v>90</v>
      </c>
      <c r="W141" s="542" t="str">
        <f t="shared" si="15"/>
        <v>MT0300_A8+E BI-+90</v>
      </c>
      <c r="X141" s="552" t="str">
        <f>I141&amp;TEXT(J141,"0000")&amp;"_"&amp;LEFT(Control!$D$23,1)&amp;LEFT(Control!$D$22,LEN(Control!$D$22)-2)</f>
        <v>MT0300_A8</v>
      </c>
      <c r="Y141" s="552" t="s">
        <v>433</v>
      </c>
      <c r="Z141" s="552" t="str">
        <f t="shared" si="43"/>
        <v>BI-</v>
      </c>
      <c r="AA141" s="552">
        <f t="shared" si="44"/>
        <v>90</v>
      </c>
      <c r="AB141" s="552">
        <v>1</v>
      </c>
      <c r="AC141" s="552">
        <v>1</v>
      </c>
      <c r="AD141" s="552">
        <v>1</v>
      </c>
      <c r="AE141" s="552">
        <v>1</v>
      </c>
      <c r="AF141" s="552">
        <v>1</v>
      </c>
      <c r="AG141" s="542" t="s">
        <v>561</v>
      </c>
      <c r="AH141" s="552">
        <v>0</v>
      </c>
      <c r="AI141" s="552">
        <v>0</v>
      </c>
      <c r="AJ141" s="552">
        <v>1</v>
      </c>
      <c r="AK141" s="552">
        <v>1</v>
      </c>
      <c r="AL141" s="552">
        <v>1</v>
      </c>
      <c r="AM141" s="552">
        <v>0</v>
      </c>
      <c r="AN141" s="552">
        <v>0</v>
      </c>
      <c r="AO141" s="552">
        <v>1</v>
      </c>
      <c r="AP141" s="552">
        <v>1</v>
      </c>
      <c r="AQ141" s="552">
        <v>1</v>
      </c>
      <c r="AR141" s="552">
        <v>1</v>
      </c>
      <c r="AS141" s="552">
        <v>1</v>
      </c>
      <c r="AT141" s="552">
        <v>1</v>
      </c>
      <c r="AU141" s="552">
        <v>1</v>
      </c>
      <c r="AV141" s="553" t="str">
        <f>IF(H141="YES","'"&amp;INDEX('Structure Groups'!$C$12:$C$14,MATCH('Load Criteria'!$B$5,'Structure Groups'!$B$12:$B$14,0),1)&amp;"'","'All'")</f>
        <v>'GL Max 800m'</v>
      </c>
      <c r="AW141" s="552" t="s">
        <v>562</v>
      </c>
      <c r="AX141" s="552"/>
      <c r="AY141" s="552" t="str">
        <f t="shared" si="32"/>
        <v>No</v>
      </c>
      <c r="AZ141" s="554" t="str">
        <f t="shared" si="33"/>
        <v/>
      </c>
      <c r="BA141" s="554" t="str">
        <f t="shared" si="45"/>
        <v/>
      </c>
      <c r="BB141" s="552" t="str">
        <f t="shared" si="46"/>
        <v/>
      </c>
      <c r="BC141" s="554"/>
      <c r="BD141" s="552"/>
      <c r="BE141" s="554"/>
      <c r="BF141" s="554"/>
      <c r="BG141" s="554"/>
      <c r="BH141" s="554"/>
      <c r="BI141" s="554"/>
      <c r="BJ141" s="554"/>
      <c r="BK141" s="554"/>
      <c r="BL141" s="554"/>
      <c r="BM141" s="554"/>
      <c r="BN141" s="554"/>
      <c r="BO141" s="554"/>
      <c r="BP141" s="554"/>
      <c r="BQ141" s="554"/>
      <c r="BR141" s="554"/>
      <c r="BS141" s="554"/>
      <c r="BT141" s="554"/>
      <c r="BU141" s="554"/>
      <c r="BV141" s="554"/>
      <c r="BW141" s="554"/>
      <c r="BX141" s="554"/>
      <c r="BY141" s="554"/>
      <c r="BZ141" s="554"/>
      <c r="CA141" s="554"/>
      <c r="CB141" s="554"/>
      <c r="CC141" s="554"/>
      <c r="CD141" s="554"/>
      <c r="CE141" s="554"/>
      <c r="CF141" s="554"/>
      <c r="CG141" s="554"/>
      <c r="CH141" s="554"/>
      <c r="CI141" s="554"/>
      <c r="CJ141" s="554"/>
      <c r="CK141" s="554"/>
      <c r="CL141" s="554"/>
      <c r="CM141" s="554"/>
      <c r="CN141" s="554"/>
      <c r="CO141" s="554"/>
      <c r="CP141" s="554"/>
      <c r="CQ141" s="554"/>
      <c r="CR141" s="554"/>
      <c r="CS141" s="554"/>
      <c r="CT141" s="554"/>
      <c r="CU141" s="554"/>
      <c r="CV141" s="554"/>
      <c r="CW141" s="554"/>
      <c r="CX141" s="554"/>
      <c r="CY141" s="554"/>
      <c r="CZ141" s="554"/>
      <c r="DA141" s="554"/>
      <c r="DB141" s="554"/>
      <c r="DC141" s="554"/>
      <c r="DD141" s="554"/>
      <c r="DE141" s="534"/>
      <c r="DF141" s="534"/>
      <c r="DG141" s="534"/>
    </row>
    <row r="142" spans="1:111" ht="15" x14ac:dyDescent="0.25">
      <c r="A142" s="549">
        <f>IF(Control!$D$5="Y","-",1)</f>
        <v>1</v>
      </c>
      <c r="B142" s="555" t="s">
        <v>558</v>
      </c>
      <c r="C142" s="555" t="s">
        <v>559</v>
      </c>
      <c r="D142" s="555" t="s">
        <v>563</v>
      </c>
      <c r="E142" s="556" t="s">
        <v>22</v>
      </c>
      <c r="F142" s="556" t="s">
        <v>22</v>
      </c>
      <c r="G142" s="556" t="str">
        <f>IFERROR(IF(MID('Load Criteria'!X142,FIND("_",'Load Criteria'!X142,1)+1,1)=LEFT(Control!$D$23,1),"YES","-"),"-")</f>
        <v>YES</v>
      </c>
      <c r="H142" s="549" t="str">
        <f>IF(INDEX('Weather Cases'!$G$10:$G$94,MATCH('Load Criteria'!X142,'Weather Cases'!$H$10:$H$94,0),1)="H","YES","")</f>
        <v>YES</v>
      </c>
      <c r="I142" s="557" t="s">
        <v>309</v>
      </c>
      <c r="J142" s="550">
        <f t="shared" si="31"/>
        <v>300</v>
      </c>
      <c r="K142" s="550" t="s">
        <v>88</v>
      </c>
      <c r="L142" s="550"/>
      <c r="M142" s="550"/>
      <c r="N142" s="550"/>
      <c r="O142" s="550"/>
      <c r="P142" s="392"/>
      <c r="Q142" s="392"/>
      <c r="R142" s="392"/>
      <c r="S142" s="392"/>
      <c r="T142" s="392"/>
      <c r="U142" s="550" t="str">
        <f t="shared" si="42"/>
        <v>BI-</v>
      </c>
      <c r="V142" s="560">
        <f t="shared" si="42"/>
        <v>45</v>
      </c>
      <c r="W142" s="542" t="str">
        <f t="shared" si="15"/>
        <v>MT0300_A8+E BI-+45</v>
      </c>
      <c r="X142" s="552" t="str">
        <f>I142&amp;TEXT(J142,"0000")&amp;"_"&amp;LEFT(Control!$D$23,1)&amp;LEFT(Control!$D$22,LEN(Control!$D$22)-2)</f>
        <v>MT0300_A8</v>
      </c>
      <c r="Y142" s="552" t="s">
        <v>433</v>
      </c>
      <c r="Z142" s="552" t="str">
        <f t="shared" si="43"/>
        <v>BI-</v>
      </c>
      <c r="AA142" s="552">
        <f t="shared" si="44"/>
        <v>45</v>
      </c>
      <c r="AB142" s="552">
        <v>1</v>
      </c>
      <c r="AC142" s="552">
        <v>1</v>
      </c>
      <c r="AD142" s="552">
        <v>1</v>
      </c>
      <c r="AE142" s="552">
        <v>1</v>
      </c>
      <c r="AF142" s="552">
        <v>1</v>
      </c>
      <c r="AG142" s="542" t="s">
        <v>561</v>
      </c>
      <c r="AH142" s="552">
        <v>0</v>
      </c>
      <c r="AI142" s="552">
        <v>0</v>
      </c>
      <c r="AJ142" s="552">
        <v>1</v>
      </c>
      <c r="AK142" s="552">
        <v>1</v>
      </c>
      <c r="AL142" s="552">
        <v>1</v>
      </c>
      <c r="AM142" s="552">
        <v>0</v>
      </c>
      <c r="AN142" s="552">
        <v>0</v>
      </c>
      <c r="AO142" s="552">
        <v>1</v>
      </c>
      <c r="AP142" s="552">
        <v>1</v>
      </c>
      <c r="AQ142" s="552">
        <v>1</v>
      </c>
      <c r="AR142" s="552">
        <v>1</v>
      </c>
      <c r="AS142" s="552">
        <v>1</v>
      </c>
      <c r="AT142" s="552">
        <v>1</v>
      </c>
      <c r="AU142" s="552">
        <v>1</v>
      </c>
      <c r="AV142" s="553" t="str">
        <f>IF(H142="YES","'"&amp;INDEX('Structure Groups'!$C$12:$C$14,MATCH('Load Criteria'!$B$5,'Structure Groups'!$B$12:$B$14,0),1)&amp;"'","'All'")</f>
        <v>'GL Max 800m'</v>
      </c>
      <c r="AW142" s="552" t="s">
        <v>562</v>
      </c>
      <c r="AX142" s="552"/>
      <c r="AY142" s="552" t="str">
        <f t="shared" si="32"/>
        <v>No</v>
      </c>
      <c r="AZ142" s="554" t="str">
        <f t="shared" si="33"/>
        <v/>
      </c>
      <c r="BA142" s="554" t="str">
        <f t="shared" si="45"/>
        <v/>
      </c>
      <c r="BB142" s="552" t="str">
        <f t="shared" si="46"/>
        <v/>
      </c>
      <c r="BC142" s="554"/>
      <c r="BD142" s="552"/>
      <c r="BE142" s="554"/>
      <c r="BF142" s="554"/>
      <c r="BG142" s="554"/>
      <c r="BH142" s="554"/>
      <c r="BI142" s="554"/>
      <c r="BJ142" s="554"/>
      <c r="BK142" s="554"/>
      <c r="BL142" s="554"/>
      <c r="BM142" s="554"/>
      <c r="BN142" s="554"/>
      <c r="BO142" s="554"/>
      <c r="BP142" s="554"/>
      <c r="BQ142" s="554"/>
      <c r="BR142" s="554"/>
      <c r="BS142" s="554"/>
      <c r="BT142" s="554"/>
      <c r="BU142" s="554"/>
      <c r="BV142" s="554"/>
      <c r="BW142" s="554"/>
      <c r="BX142" s="554"/>
      <c r="BY142" s="554"/>
      <c r="BZ142" s="554"/>
      <c r="CA142" s="554"/>
      <c r="CB142" s="554"/>
      <c r="CC142" s="554"/>
      <c r="CD142" s="554"/>
      <c r="CE142" s="554"/>
      <c r="CF142" s="554"/>
      <c r="CG142" s="554"/>
      <c r="CH142" s="554"/>
      <c r="CI142" s="554"/>
      <c r="CJ142" s="554"/>
      <c r="CK142" s="554"/>
      <c r="CL142" s="554"/>
      <c r="CM142" s="554"/>
      <c r="CN142" s="554"/>
      <c r="CO142" s="554"/>
      <c r="CP142" s="554"/>
      <c r="CQ142" s="554"/>
      <c r="CR142" s="554"/>
      <c r="CS142" s="554"/>
      <c r="CT142" s="554"/>
      <c r="CU142" s="554"/>
      <c r="CV142" s="554"/>
      <c r="CW142" s="554"/>
      <c r="CX142" s="554"/>
      <c r="CY142" s="554"/>
      <c r="CZ142" s="554"/>
      <c r="DA142" s="554"/>
      <c r="DB142" s="554"/>
      <c r="DC142" s="554"/>
      <c r="DD142" s="554"/>
      <c r="DE142" s="534"/>
      <c r="DF142" s="534"/>
      <c r="DG142" s="534"/>
    </row>
    <row r="143" spans="1:111" ht="15" x14ac:dyDescent="0.25">
      <c r="A143" s="549">
        <f>IF(Control!$D$5="Y","-",1)</f>
        <v>1</v>
      </c>
      <c r="B143" s="555" t="s">
        <v>558</v>
      </c>
      <c r="C143" s="555" t="s">
        <v>559</v>
      </c>
      <c r="D143" s="555" t="s">
        <v>563</v>
      </c>
      <c r="E143" s="556" t="s">
        <v>22</v>
      </c>
      <c r="F143" s="556" t="s">
        <v>22</v>
      </c>
      <c r="G143" s="556" t="str">
        <f>IFERROR(IF(MID('Load Criteria'!X143,FIND("_",'Load Criteria'!X143,1)+1,1)=LEFT(Control!$D$23,1),"YES","-"),"-")</f>
        <v>YES</v>
      </c>
      <c r="H143" s="549" t="str">
        <f>IF(INDEX('Weather Cases'!$G$10:$G$94,MATCH('Load Criteria'!X143,'Weather Cases'!$H$10:$H$94,0),1)="H","YES","")</f>
        <v>YES</v>
      </c>
      <c r="I143" s="557" t="s">
        <v>309</v>
      </c>
      <c r="J143" s="550">
        <f t="shared" si="31"/>
        <v>300</v>
      </c>
      <c r="K143" s="550" t="s">
        <v>88</v>
      </c>
      <c r="L143" s="550"/>
      <c r="M143" s="550"/>
      <c r="N143" s="550"/>
      <c r="O143" s="550"/>
      <c r="P143" s="392"/>
      <c r="Q143" s="392"/>
      <c r="R143" s="392"/>
      <c r="S143" s="392"/>
      <c r="T143" s="392"/>
      <c r="U143" s="550" t="str">
        <f t="shared" si="42"/>
        <v>BI-</v>
      </c>
      <c r="V143" s="560">
        <f t="shared" si="42"/>
        <v>30</v>
      </c>
      <c r="W143" s="542" t="str">
        <f t="shared" ref="W143:W149" si="47">X143&amp;"+"&amp;K143&amp;IF(L143="","",CONCATENATE(L143,M143,N143,O143))&amp;" "&amp;U143&amp;TEXT(V143,"+00;-00")</f>
        <v>MT0300_A8+E BI-+30</v>
      </c>
      <c r="X143" s="552" t="str">
        <f>I143&amp;TEXT(J143,"0000")&amp;"_"&amp;LEFT(Control!$D$23,1)&amp;LEFT(Control!$D$22,LEN(Control!$D$22)-2)</f>
        <v>MT0300_A8</v>
      </c>
      <c r="Y143" s="552" t="s">
        <v>433</v>
      </c>
      <c r="Z143" s="552" t="str">
        <f t="shared" si="43"/>
        <v>BI-</v>
      </c>
      <c r="AA143" s="552">
        <f t="shared" si="44"/>
        <v>30</v>
      </c>
      <c r="AB143" s="552">
        <v>1</v>
      </c>
      <c r="AC143" s="552">
        <v>1</v>
      </c>
      <c r="AD143" s="552">
        <v>1</v>
      </c>
      <c r="AE143" s="552">
        <v>1</v>
      </c>
      <c r="AF143" s="552">
        <v>1</v>
      </c>
      <c r="AG143" s="542" t="s">
        <v>561</v>
      </c>
      <c r="AH143" s="552">
        <v>0</v>
      </c>
      <c r="AI143" s="552">
        <v>0</v>
      </c>
      <c r="AJ143" s="552">
        <v>1</v>
      </c>
      <c r="AK143" s="552">
        <v>1</v>
      </c>
      <c r="AL143" s="552">
        <v>1</v>
      </c>
      <c r="AM143" s="552">
        <v>0</v>
      </c>
      <c r="AN143" s="552">
        <v>0</v>
      </c>
      <c r="AO143" s="552">
        <v>1</v>
      </c>
      <c r="AP143" s="552">
        <v>1</v>
      </c>
      <c r="AQ143" s="552">
        <v>1</v>
      </c>
      <c r="AR143" s="552">
        <v>1</v>
      </c>
      <c r="AS143" s="552">
        <v>1</v>
      </c>
      <c r="AT143" s="552">
        <v>1</v>
      </c>
      <c r="AU143" s="552">
        <v>1</v>
      </c>
      <c r="AV143" s="553" t="str">
        <f>IF(H143="YES","'"&amp;INDEX('Structure Groups'!$C$12:$C$14,MATCH('Load Criteria'!$B$5,'Structure Groups'!$B$12:$B$14,0),1)&amp;"'","'All'")</f>
        <v>'GL Max 800m'</v>
      </c>
      <c r="AW143" s="552" t="s">
        <v>562</v>
      </c>
      <c r="AX143" s="552"/>
      <c r="AY143" s="552" t="str">
        <f t="shared" si="32"/>
        <v>No</v>
      </c>
      <c r="AZ143" s="554" t="str">
        <f t="shared" si="33"/>
        <v/>
      </c>
      <c r="BA143" s="554" t="str">
        <f t="shared" si="45"/>
        <v/>
      </c>
      <c r="BB143" s="552" t="str">
        <f t="shared" si="46"/>
        <v/>
      </c>
      <c r="BC143" s="554"/>
      <c r="BD143" s="552"/>
      <c r="BE143" s="554"/>
      <c r="BF143" s="554"/>
      <c r="BG143" s="554"/>
      <c r="BH143" s="554"/>
      <c r="BI143" s="554"/>
      <c r="BJ143" s="554"/>
      <c r="BK143" s="554"/>
      <c r="BL143" s="554"/>
      <c r="BM143" s="554"/>
      <c r="BN143" s="554"/>
      <c r="BO143" s="554"/>
      <c r="BP143" s="554"/>
      <c r="BQ143" s="554"/>
      <c r="BR143" s="554"/>
      <c r="BS143" s="554"/>
      <c r="BT143" s="554"/>
      <c r="BU143" s="554"/>
      <c r="BV143" s="554"/>
      <c r="BW143" s="554"/>
      <c r="BX143" s="554"/>
      <c r="BY143" s="554"/>
      <c r="BZ143" s="554"/>
      <c r="CA143" s="554"/>
      <c r="CB143" s="554"/>
      <c r="CC143" s="554"/>
      <c r="CD143" s="554"/>
      <c r="CE143" s="554"/>
      <c r="CF143" s="554"/>
      <c r="CG143" s="554"/>
      <c r="CH143" s="554"/>
      <c r="CI143" s="554"/>
      <c r="CJ143" s="554"/>
      <c r="CK143" s="554"/>
      <c r="CL143" s="554"/>
      <c r="CM143" s="554"/>
      <c r="CN143" s="554"/>
      <c r="CO143" s="554"/>
      <c r="CP143" s="554"/>
      <c r="CQ143" s="554"/>
      <c r="CR143" s="554"/>
      <c r="CS143" s="554"/>
      <c r="CT143" s="554"/>
      <c r="CU143" s="554"/>
      <c r="CV143" s="554"/>
      <c r="CW143" s="554"/>
      <c r="CX143" s="554"/>
      <c r="CY143" s="554"/>
      <c r="CZ143" s="554"/>
      <c r="DA143" s="554"/>
      <c r="DB143" s="554"/>
      <c r="DC143" s="554"/>
      <c r="DD143" s="554"/>
      <c r="DE143" s="534"/>
      <c r="DF143" s="534"/>
      <c r="DG143" s="534"/>
    </row>
    <row r="144" spans="1:111" ht="15" x14ac:dyDescent="0.25">
      <c r="A144" s="549">
        <f>IF(Control!$D$5="Y","-",1)</f>
        <v>1</v>
      </c>
      <c r="B144" s="555" t="s">
        <v>558</v>
      </c>
      <c r="C144" s="555" t="s">
        <v>559</v>
      </c>
      <c r="D144" s="555" t="s">
        <v>563</v>
      </c>
      <c r="E144" s="556" t="s">
        <v>22</v>
      </c>
      <c r="F144" s="556" t="s">
        <v>22</v>
      </c>
      <c r="G144" s="556" t="str">
        <f>IFERROR(IF(MID('Load Criteria'!X144,FIND("_",'Load Criteria'!X144,1)+1,1)=LEFT(Control!$D$23,1),"YES","-"),"-")</f>
        <v>YES</v>
      </c>
      <c r="H144" s="549" t="str">
        <f>IF(INDEX('Weather Cases'!$G$10:$G$94,MATCH('Load Criteria'!X144,'Weather Cases'!$H$10:$H$94,0),1)="H","YES","")</f>
        <v>YES</v>
      </c>
      <c r="I144" s="557" t="s">
        <v>309</v>
      </c>
      <c r="J144" s="550">
        <f t="shared" si="31"/>
        <v>300</v>
      </c>
      <c r="K144" s="550" t="s">
        <v>88</v>
      </c>
      <c r="L144" s="550"/>
      <c r="M144" s="550"/>
      <c r="N144" s="550"/>
      <c r="O144" s="550"/>
      <c r="P144" s="392"/>
      <c r="Q144" s="392"/>
      <c r="R144" s="392"/>
      <c r="S144" s="392"/>
      <c r="T144" s="392"/>
      <c r="U144" s="550" t="str">
        <f t="shared" si="42"/>
        <v>BI-</v>
      </c>
      <c r="V144" s="560">
        <f t="shared" si="42"/>
        <v>15</v>
      </c>
      <c r="W144" s="542" t="str">
        <f t="shared" si="47"/>
        <v>MT0300_A8+E BI-+15</v>
      </c>
      <c r="X144" s="552" t="str">
        <f>I144&amp;TEXT(J144,"0000")&amp;"_"&amp;LEFT(Control!$D$23,1)&amp;LEFT(Control!$D$22,LEN(Control!$D$22)-2)</f>
        <v>MT0300_A8</v>
      </c>
      <c r="Y144" s="552" t="s">
        <v>433</v>
      </c>
      <c r="Z144" s="552" t="str">
        <f t="shared" si="43"/>
        <v>BI-</v>
      </c>
      <c r="AA144" s="552">
        <f t="shared" si="44"/>
        <v>15</v>
      </c>
      <c r="AB144" s="552">
        <v>1</v>
      </c>
      <c r="AC144" s="552">
        <v>1</v>
      </c>
      <c r="AD144" s="552">
        <v>1</v>
      </c>
      <c r="AE144" s="552">
        <v>1</v>
      </c>
      <c r="AF144" s="552">
        <v>1</v>
      </c>
      <c r="AG144" s="542" t="s">
        <v>561</v>
      </c>
      <c r="AH144" s="552">
        <v>0</v>
      </c>
      <c r="AI144" s="552">
        <v>0</v>
      </c>
      <c r="AJ144" s="552">
        <v>1</v>
      </c>
      <c r="AK144" s="552">
        <v>1</v>
      </c>
      <c r="AL144" s="552">
        <v>1</v>
      </c>
      <c r="AM144" s="552">
        <v>0</v>
      </c>
      <c r="AN144" s="552">
        <v>0</v>
      </c>
      <c r="AO144" s="552">
        <v>1</v>
      </c>
      <c r="AP144" s="552">
        <v>1</v>
      </c>
      <c r="AQ144" s="552">
        <v>1</v>
      </c>
      <c r="AR144" s="552">
        <v>1</v>
      </c>
      <c r="AS144" s="552">
        <v>1</v>
      </c>
      <c r="AT144" s="552">
        <v>1</v>
      </c>
      <c r="AU144" s="552">
        <v>1</v>
      </c>
      <c r="AV144" s="553" t="str">
        <f>IF(H144="YES","'"&amp;INDEX('Structure Groups'!$C$12:$C$14,MATCH('Load Criteria'!$B$5,'Structure Groups'!$B$12:$B$14,0),1)&amp;"'","'All'")</f>
        <v>'GL Max 800m'</v>
      </c>
      <c r="AW144" s="552" t="s">
        <v>562</v>
      </c>
      <c r="AX144" s="552"/>
      <c r="AY144" s="552" t="str">
        <f t="shared" si="32"/>
        <v>No</v>
      </c>
      <c r="AZ144" s="554" t="str">
        <f t="shared" si="33"/>
        <v/>
      </c>
      <c r="BA144" s="554" t="str">
        <f t="shared" si="45"/>
        <v/>
      </c>
      <c r="BB144" s="552" t="str">
        <f t="shared" si="46"/>
        <v/>
      </c>
      <c r="BC144" s="554"/>
      <c r="BD144" s="552"/>
      <c r="BE144" s="554"/>
      <c r="BF144" s="554"/>
      <c r="BG144" s="554"/>
      <c r="BH144" s="554"/>
      <c r="BI144" s="554"/>
      <c r="BJ144" s="554"/>
      <c r="BK144" s="554"/>
      <c r="BL144" s="554"/>
      <c r="BM144" s="554"/>
      <c r="BN144" s="554"/>
      <c r="BO144" s="554"/>
      <c r="BP144" s="554"/>
      <c r="BQ144" s="554"/>
      <c r="BR144" s="554"/>
      <c r="BS144" s="554"/>
      <c r="BT144" s="554"/>
      <c r="BU144" s="554"/>
      <c r="BV144" s="554"/>
      <c r="BW144" s="554"/>
      <c r="BX144" s="554"/>
      <c r="BY144" s="554"/>
      <c r="BZ144" s="554"/>
      <c r="CA144" s="554"/>
      <c r="CB144" s="554"/>
      <c r="CC144" s="554"/>
      <c r="CD144" s="554"/>
      <c r="CE144" s="554"/>
      <c r="CF144" s="554"/>
      <c r="CG144" s="554"/>
      <c r="CH144" s="554"/>
      <c r="CI144" s="554"/>
      <c r="CJ144" s="554"/>
      <c r="CK144" s="554"/>
      <c r="CL144" s="554"/>
      <c r="CM144" s="554"/>
      <c r="CN144" s="554"/>
      <c r="CO144" s="554"/>
      <c r="CP144" s="554"/>
      <c r="CQ144" s="554"/>
      <c r="CR144" s="554"/>
      <c r="CS144" s="554"/>
      <c r="CT144" s="554"/>
      <c r="CU144" s="554"/>
      <c r="CV144" s="554"/>
      <c r="CW144" s="554"/>
      <c r="CX144" s="554"/>
      <c r="CY144" s="554"/>
      <c r="CZ144" s="554"/>
      <c r="DA144" s="554"/>
      <c r="DB144" s="554"/>
      <c r="DC144" s="554"/>
      <c r="DD144" s="554"/>
      <c r="DE144" s="534"/>
      <c r="DF144" s="534"/>
      <c r="DG144" s="534"/>
    </row>
    <row r="145" spans="1:111" ht="15" x14ac:dyDescent="0.25">
      <c r="A145" s="549">
        <f>IF(Control!$D$5="Y","-",1)</f>
        <v>1</v>
      </c>
      <c r="B145" s="555" t="s">
        <v>558</v>
      </c>
      <c r="C145" s="555" t="s">
        <v>559</v>
      </c>
      <c r="D145" s="555" t="s">
        <v>563</v>
      </c>
      <c r="E145" s="556" t="s">
        <v>22</v>
      </c>
      <c r="F145" s="556" t="s">
        <v>22</v>
      </c>
      <c r="G145" s="556" t="str">
        <f>IFERROR(IF(MID('Load Criteria'!X145,FIND("_",'Load Criteria'!X145,1)+1,1)=LEFT(Control!$D$23,1),"YES","-"),"-")</f>
        <v>YES</v>
      </c>
      <c r="H145" s="549" t="str">
        <f>IF(INDEX('Weather Cases'!$G$10:$G$94,MATCH('Load Criteria'!X145,'Weather Cases'!$H$10:$H$94,0),1)="H","YES","")</f>
        <v>YES</v>
      </c>
      <c r="I145" s="557" t="s">
        <v>309</v>
      </c>
      <c r="J145" s="550">
        <f t="shared" si="31"/>
        <v>300</v>
      </c>
      <c r="K145" s="550" t="s">
        <v>88</v>
      </c>
      <c r="L145" s="550"/>
      <c r="M145" s="550"/>
      <c r="N145" s="550"/>
      <c r="O145" s="550"/>
      <c r="P145" s="392"/>
      <c r="Q145" s="392"/>
      <c r="R145" s="392"/>
      <c r="S145" s="392"/>
      <c r="T145" s="392"/>
      <c r="U145" s="550" t="str">
        <f t="shared" si="42"/>
        <v>BI-</v>
      </c>
      <c r="V145" s="560">
        <f t="shared" si="42"/>
        <v>0</v>
      </c>
      <c r="W145" s="542" t="str">
        <f t="shared" si="47"/>
        <v>MT0300_A8+E BI-+00</v>
      </c>
      <c r="X145" s="552" t="str">
        <f>I145&amp;TEXT(J145,"0000")&amp;"_"&amp;LEFT(Control!$D$23,1)&amp;LEFT(Control!$D$22,LEN(Control!$D$22)-2)</f>
        <v>MT0300_A8</v>
      </c>
      <c r="Y145" s="552" t="s">
        <v>433</v>
      </c>
      <c r="Z145" s="552" t="str">
        <f t="shared" si="43"/>
        <v>BI-</v>
      </c>
      <c r="AA145" s="552">
        <f t="shared" si="44"/>
        <v>0</v>
      </c>
      <c r="AB145" s="552">
        <v>1</v>
      </c>
      <c r="AC145" s="552">
        <v>1</v>
      </c>
      <c r="AD145" s="552">
        <v>1</v>
      </c>
      <c r="AE145" s="552">
        <v>1</v>
      </c>
      <c r="AF145" s="552">
        <v>1</v>
      </c>
      <c r="AG145" s="542" t="s">
        <v>561</v>
      </c>
      <c r="AH145" s="552">
        <v>0</v>
      </c>
      <c r="AI145" s="552">
        <v>0</v>
      </c>
      <c r="AJ145" s="552">
        <v>1</v>
      </c>
      <c r="AK145" s="552">
        <v>1</v>
      </c>
      <c r="AL145" s="552">
        <v>1</v>
      </c>
      <c r="AM145" s="552">
        <v>0</v>
      </c>
      <c r="AN145" s="552">
        <v>0</v>
      </c>
      <c r="AO145" s="552">
        <v>1</v>
      </c>
      <c r="AP145" s="552">
        <v>1</v>
      </c>
      <c r="AQ145" s="552">
        <v>1</v>
      </c>
      <c r="AR145" s="552">
        <v>1</v>
      </c>
      <c r="AS145" s="552">
        <v>1</v>
      </c>
      <c r="AT145" s="552">
        <v>1</v>
      </c>
      <c r="AU145" s="552">
        <v>1</v>
      </c>
      <c r="AV145" s="553" t="str">
        <f>IF(H145="YES","'"&amp;INDEX('Structure Groups'!$C$12:$C$14,MATCH('Load Criteria'!$B$5,'Structure Groups'!$B$12:$B$14,0),1)&amp;"'","'All'")</f>
        <v>'GL Max 800m'</v>
      </c>
      <c r="AW145" s="552" t="s">
        <v>562</v>
      </c>
      <c r="AX145" s="552"/>
      <c r="AY145" s="552" t="str">
        <f t="shared" si="32"/>
        <v>No</v>
      </c>
      <c r="AZ145" s="554" t="str">
        <f t="shared" si="33"/>
        <v/>
      </c>
      <c r="BA145" s="554" t="str">
        <f t="shared" si="45"/>
        <v/>
      </c>
      <c r="BB145" s="552" t="str">
        <f t="shared" si="46"/>
        <v/>
      </c>
      <c r="BC145" s="554"/>
      <c r="BD145" s="552"/>
      <c r="BE145" s="554"/>
      <c r="BF145" s="554"/>
      <c r="BG145" s="554"/>
      <c r="BH145" s="554"/>
      <c r="BI145" s="554"/>
      <c r="BJ145" s="554"/>
      <c r="BK145" s="554"/>
      <c r="BL145" s="554"/>
      <c r="BM145" s="554"/>
      <c r="BN145" s="554"/>
      <c r="BO145" s="554"/>
      <c r="BP145" s="554"/>
      <c r="BQ145" s="554"/>
      <c r="BR145" s="554"/>
      <c r="BS145" s="554"/>
      <c r="BT145" s="554"/>
      <c r="BU145" s="554"/>
      <c r="BV145" s="554"/>
      <c r="BW145" s="554"/>
      <c r="BX145" s="554"/>
      <c r="BY145" s="554"/>
      <c r="BZ145" s="554"/>
      <c r="CA145" s="554"/>
      <c r="CB145" s="554"/>
      <c r="CC145" s="554"/>
      <c r="CD145" s="554"/>
      <c r="CE145" s="554"/>
      <c r="CF145" s="554"/>
      <c r="CG145" s="554"/>
      <c r="CH145" s="554"/>
      <c r="CI145" s="554"/>
      <c r="CJ145" s="554"/>
      <c r="CK145" s="554"/>
      <c r="CL145" s="554"/>
      <c r="CM145" s="554"/>
      <c r="CN145" s="554"/>
      <c r="CO145" s="554"/>
      <c r="CP145" s="554"/>
      <c r="CQ145" s="554"/>
      <c r="CR145" s="554"/>
      <c r="CS145" s="554"/>
      <c r="CT145" s="554"/>
      <c r="CU145" s="554"/>
      <c r="CV145" s="554"/>
      <c r="CW145" s="554"/>
      <c r="CX145" s="554"/>
      <c r="CY145" s="554"/>
      <c r="CZ145" s="554"/>
      <c r="DA145" s="554"/>
      <c r="DB145" s="554"/>
      <c r="DC145" s="554"/>
      <c r="DD145" s="554"/>
      <c r="DE145" s="534"/>
      <c r="DF145" s="534"/>
      <c r="DG145" s="534"/>
    </row>
    <row r="146" spans="1:111" ht="15" x14ac:dyDescent="0.25">
      <c r="A146" s="549">
        <f>IF(Control!$D$5="Y","-",1)</f>
        <v>1</v>
      </c>
      <c r="B146" s="555" t="s">
        <v>558</v>
      </c>
      <c r="C146" s="555" t="s">
        <v>559</v>
      </c>
      <c r="D146" s="555" t="s">
        <v>563</v>
      </c>
      <c r="E146" s="556" t="s">
        <v>22</v>
      </c>
      <c r="F146" s="556" t="s">
        <v>22</v>
      </c>
      <c r="G146" s="556" t="str">
        <f>IFERROR(IF(MID('Load Criteria'!X146,FIND("_",'Load Criteria'!X146,1)+1,1)=LEFT(Control!$D$23,1),"YES","-"),"-")</f>
        <v>YES</v>
      </c>
      <c r="H146" s="549" t="str">
        <f>IF(INDEX('Weather Cases'!$G$10:$G$94,MATCH('Load Criteria'!X146,'Weather Cases'!$H$10:$H$94,0),1)="H","YES","")</f>
        <v>YES</v>
      </c>
      <c r="I146" s="557" t="s">
        <v>309</v>
      </c>
      <c r="J146" s="550">
        <f t="shared" si="31"/>
        <v>300</v>
      </c>
      <c r="K146" s="550" t="s">
        <v>88</v>
      </c>
      <c r="L146" s="550"/>
      <c r="M146" s="550"/>
      <c r="N146" s="550"/>
      <c r="O146" s="550"/>
      <c r="P146" s="392"/>
      <c r="Q146" s="392"/>
      <c r="R146" s="392"/>
      <c r="S146" s="392"/>
      <c r="T146" s="392"/>
      <c r="U146" s="550" t="str">
        <f t="shared" si="42"/>
        <v>BI-</v>
      </c>
      <c r="V146" s="560">
        <f t="shared" si="42"/>
        <v>-15</v>
      </c>
      <c r="W146" s="542" t="str">
        <f t="shared" si="47"/>
        <v>MT0300_A8+E BI--15</v>
      </c>
      <c r="X146" s="552" t="str">
        <f>I146&amp;TEXT(J146,"0000")&amp;"_"&amp;LEFT(Control!$D$23,1)&amp;LEFT(Control!$D$22,LEN(Control!$D$22)-2)</f>
        <v>MT0300_A8</v>
      </c>
      <c r="Y146" s="552" t="s">
        <v>433</v>
      </c>
      <c r="Z146" s="552" t="str">
        <f t="shared" si="43"/>
        <v>BI-</v>
      </c>
      <c r="AA146" s="552">
        <f t="shared" si="44"/>
        <v>-15</v>
      </c>
      <c r="AB146" s="552">
        <v>1</v>
      </c>
      <c r="AC146" s="552">
        <v>1</v>
      </c>
      <c r="AD146" s="552">
        <v>1</v>
      </c>
      <c r="AE146" s="552">
        <v>1</v>
      </c>
      <c r="AF146" s="552">
        <v>1</v>
      </c>
      <c r="AG146" s="542" t="s">
        <v>561</v>
      </c>
      <c r="AH146" s="552">
        <v>0</v>
      </c>
      <c r="AI146" s="552">
        <v>0</v>
      </c>
      <c r="AJ146" s="552">
        <v>1</v>
      </c>
      <c r="AK146" s="552">
        <v>1</v>
      </c>
      <c r="AL146" s="552">
        <v>1</v>
      </c>
      <c r="AM146" s="552">
        <v>0</v>
      </c>
      <c r="AN146" s="552">
        <v>0</v>
      </c>
      <c r="AO146" s="552">
        <v>1</v>
      </c>
      <c r="AP146" s="552">
        <v>1</v>
      </c>
      <c r="AQ146" s="552">
        <v>1</v>
      </c>
      <c r="AR146" s="552">
        <v>1</v>
      </c>
      <c r="AS146" s="552">
        <v>1</v>
      </c>
      <c r="AT146" s="552">
        <v>1</v>
      </c>
      <c r="AU146" s="552">
        <v>1</v>
      </c>
      <c r="AV146" s="553" t="str">
        <f>IF(H146="YES","'"&amp;INDEX('Structure Groups'!$C$12:$C$14,MATCH('Load Criteria'!$B$5,'Structure Groups'!$B$12:$B$14,0),1)&amp;"'","'All'")</f>
        <v>'GL Max 800m'</v>
      </c>
      <c r="AW146" s="552" t="s">
        <v>562</v>
      </c>
      <c r="AX146" s="552"/>
      <c r="AY146" s="552" t="str">
        <f t="shared" si="32"/>
        <v>No</v>
      </c>
      <c r="AZ146" s="554" t="str">
        <f t="shared" ref="AZ146:AZ149" si="48">IF(AY146="No","",IF(L146="A","Ahead Spans","Back Spans"))</f>
        <v/>
      </c>
      <c r="BA146" s="554" t="str">
        <f t="shared" si="45"/>
        <v/>
      </c>
      <c r="BB146" s="552" t="str">
        <f t="shared" si="46"/>
        <v/>
      </c>
      <c r="BC146" s="554"/>
      <c r="BD146" s="552"/>
      <c r="BE146" s="554"/>
      <c r="BF146" s="554"/>
      <c r="BG146" s="554"/>
      <c r="BH146" s="554"/>
      <c r="BI146" s="554"/>
      <c r="BJ146" s="554"/>
      <c r="BK146" s="554"/>
      <c r="BL146" s="554"/>
      <c r="BM146" s="554"/>
      <c r="BN146" s="554"/>
      <c r="BO146" s="554"/>
      <c r="BP146" s="554"/>
      <c r="BQ146" s="554"/>
      <c r="BR146" s="554"/>
      <c r="BS146" s="554"/>
      <c r="BT146" s="554"/>
      <c r="BU146" s="554"/>
      <c r="BV146" s="554"/>
      <c r="BW146" s="554"/>
      <c r="BX146" s="554"/>
      <c r="BY146" s="554"/>
      <c r="BZ146" s="554"/>
      <c r="CA146" s="554"/>
      <c r="CB146" s="554"/>
      <c r="CC146" s="554"/>
      <c r="CD146" s="554"/>
      <c r="CE146" s="554"/>
      <c r="CF146" s="554"/>
      <c r="CG146" s="554"/>
      <c r="CH146" s="554"/>
      <c r="CI146" s="554"/>
      <c r="CJ146" s="554"/>
      <c r="CK146" s="554"/>
      <c r="CL146" s="554"/>
      <c r="CM146" s="554"/>
      <c r="CN146" s="554"/>
      <c r="CO146" s="554"/>
      <c r="CP146" s="554"/>
      <c r="CQ146" s="554"/>
      <c r="CR146" s="554"/>
      <c r="CS146" s="554"/>
      <c r="CT146" s="554"/>
      <c r="CU146" s="554"/>
      <c r="CV146" s="554"/>
      <c r="CW146" s="554"/>
      <c r="CX146" s="554"/>
      <c r="CY146" s="554"/>
      <c r="CZ146" s="554"/>
      <c r="DA146" s="554"/>
      <c r="DB146" s="554"/>
      <c r="DC146" s="554"/>
      <c r="DD146" s="554"/>
      <c r="DE146" s="534"/>
      <c r="DF146" s="534"/>
      <c r="DG146" s="534"/>
    </row>
    <row r="147" spans="1:111" ht="15" x14ac:dyDescent="0.25">
      <c r="A147" s="549">
        <f>IF(Control!$D$5="Y","-",1)</f>
        <v>1</v>
      </c>
      <c r="B147" s="555" t="s">
        <v>558</v>
      </c>
      <c r="C147" s="555" t="s">
        <v>559</v>
      </c>
      <c r="D147" s="555" t="s">
        <v>563</v>
      </c>
      <c r="E147" s="556" t="s">
        <v>22</v>
      </c>
      <c r="F147" s="556" t="s">
        <v>22</v>
      </c>
      <c r="G147" s="556" t="str">
        <f>IFERROR(IF(MID('Load Criteria'!X147,FIND("_",'Load Criteria'!X147,1)+1,1)=LEFT(Control!$D$23,1),"YES","-"),"-")</f>
        <v>YES</v>
      </c>
      <c r="H147" s="549" t="str">
        <f>IF(INDEX('Weather Cases'!$G$10:$G$94,MATCH('Load Criteria'!X147,'Weather Cases'!$H$10:$H$94,0),1)="H","YES","")</f>
        <v>YES</v>
      </c>
      <c r="I147" s="557" t="s">
        <v>309</v>
      </c>
      <c r="J147" s="550">
        <f t="shared" si="31"/>
        <v>300</v>
      </c>
      <c r="K147" s="550" t="s">
        <v>88</v>
      </c>
      <c r="L147" s="550"/>
      <c r="M147" s="550"/>
      <c r="N147" s="550"/>
      <c r="O147" s="550"/>
      <c r="P147" s="392"/>
      <c r="Q147" s="392"/>
      <c r="R147" s="392"/>
      <c r="S147" s="392"/>
      <c r="T147" s="392"/>
      <c r="U147" s="550" t="str">
        <f t="shared" si="42"/>
        <v>BI-</v>
      </c>
      <c r="V147" s="560">
        <f t="shared" si="42"/>
        <v>-30</v>
      </c>
      <c r="W147" s="542" t="str">
        <f t="shared" si="47"/>
        <v>MT0300_A8+E BI--30</v>
      </c>
      <c r="X147" s="552" t="str">
        <f>I147&amp;TEXT(J147,"0000")&amp;"_"&amp;LEFT(Control!$D$23,1)&amp;LEFT(Control!$D$22,LEN(Control!$D$22)-2)</f>
        <v>MT0300_A8</v>
      </c>
      <c r="Y147" s="552" t="s">
        <v>433</v>
      </c>
      <c r="Z147" s="552" t="str">
        <f t="shared" si="43"/>
        <v>BI-</v>
      </c>
      <c r="AA147" s="552">
        <f t="shared" si="44"/>
        <v>-30</v>
      </c>
      <c r="AB147" s="552">
        <v>1</v>
      </c>
      <c r="AC147" s="552">
        <v>1</v>
      </c>
      <c r="AD147" s="552">
        <v>1</v>
      </c>
      <c r="AE147" s="552">
        <v>1</v>
      </c>
      <c r="AF147" s="552">
        <v>1</v>
      </c>
      <c r="AG147" s="542" t="s">
        <v>561</v>
      </c>
      <c r="AH147" s="552">
        <v>0</v>
      </c>
      <c r="AI147" s="552">
        <v>0</v>
      </c>
      <c r="AJ147" s="552">
        <v>1</v>
      </c>
      <c r="AK147" s="552">
        <v>1</v>
      </c>
      <c r="AL147" s="552">
        <v>1</v>
      </c>
      <c r="AM147" s="552">
        <v>0</v>
      </c>
      <c r="AN147" s="552">
        <v>0</v>
      </c>
      <c r="AO147" s="552">
        <v>1</v>
      </c>
      <c r="AP147" s="552">
        <v>1</v>
      </c>
      <c r="AQ147" s="552">
        <v>1</v>
      </c>
      <c r="AR147" s="552">
        <v>1</v>
      </c>
      <c r="AS147" s="552">
        <v>1</v>
      </c>
      <c r="AT147" s="552">
        <v>1</v>
      </c>
      <c r="AU147" s="552">
        <v>1</v>
      </c>
      <c r="AV147" s="553" t="str">
        <f>IF(H147="YES","'"&amp;INDEX('Structure Groups'!$C$12:$C$14,MATCH('Load Criteria'!$B$5,'Structure Groups'!$B$12:$B$14,0),1)&amp;"'","'All'")</f>
        <v>'GL Max 800m'</v>
      </c>
      <c r="AW147" s="552" t="s">
        <v>562</v>
      </c>
      <c r="AX147" s="552"/>
      <c r="AY147" s="552" t="str">
        <f t="shared" si="32"/>
        <v>No</v>
      </c>
      <c r="AZ147" s="554" t="str">
        <f t="shared" si="48"/>
        <v/>
      </c>
      <c r="BA147" s="554" t="str">
        <f t="shared" si="45"/>
        <v/>
      </c>
      <c r="BB147" s="552" t="str">
        <f t="shared" si="46"/>
        <v/>
      </c>
      <c r="BC147" s="554"/>
      <c r="BD147" s="552"/>
      <c r="BE147" s="554"/>
      <c r="BF147" s="554"/>
      <c r="BG147" s="554"/>
      <c r="BH147" s="554"/>
      <c r="BI147" s="554"/>
      <c r="BJ147" s="554"/>
      <c r="BK147" s="554"/>
      <c r="BL147" s="554"/>
      <c r="BM147" s="554"/>
      <c r="BN147" s="554"/>
      <c r="BO147" s="554"/>
      <c r="BP147" s="554"/>
      <c r="BQ147" s="554"/>
      <c r="BR147" s="554"/>
      <c r="BS147" s="554"/>
      <c r="BT147" s="554"/>
      <c r="BU147" s="554"/>
      <c r="BV147" s="554"/>
      <c r="BW147" s="554"/>
      <c r="BX147" s="554"/>
      <c r="BY147" s="554"/>
      <c r="BZ147" s="554"/>
      <c r="CA147" s="554"/>
      <c r="CB147" s="554"/>
      <c r="CC147" s="554"/>
      <c r="CD147" s="554"/>
      <c r="CE147" s="554"/>
      <c r="CF147" s="554"/>
      <c r="CG147" s="554"/>
      <c r="CH147" s="554"/>
      <c r="CI147" s="554"/>
      <c r="CJ147" s="554"/>
      <c r="CK147" s="554"/>
      <c r="CL147" s="554"/>
      <c r="CM147" s="554"/>
      <c r="CN147" s="554"/>
      <c r="CO147" s="554"/>
      <c r="CP147" s="554"/>
      <c r="CQ147" s="554"/>
      <c r="CR147" s="554"/>
      <c r="CS147" s="554"/>
      <c r="CT147" s="554"/>
      <c r="CU147" s="554"/>
      <c r="CV147" s="554"/>
      <c r="CW147" s="554"/>
      <c r="CX147" s="554"/>
      <c r="CY147" s="554"/>
      <c r="CZ147" s="554"/>
      <c r="DA147" s="554"/>
      <c r="DB147" s="554"/>
      <c r="DC147" s="554"/>
      <c r="DD147" s="554"/>
      <c r="DE147" s="534"/>
      <c r="DF147" s="534"/>
      <c r="DG147" s="534"/>
    </row>
    <row r="148" spans="1:111" ht="15" x14ac:dyDescent="0.25">
      <c r="A148" s="549">
        <f>IF(Control!$D$5="Y","-",1)</f>
        <v>1</v>
      </c>
      <c r="B148" s="555" t="s">
        <v>558</v>
      </c>
      <c r="C148" s="555" t="s">
        <v>559</v>
      </c>
      <c r="D148" s="555" t="s">
        <v>563</v>
      </c>
      <c r="E148" s="556" t="s">
        <v>22</v>
      </c>
      <c r="F148" s="556" t="s">
        <v>22</v>
      </c>
      <c r="G148" s="556" t="str">
        <f>IFERROR(IF(MID('Load Criteria'!X148,FIND("_",'Load Criteria'!X148,1)+1,1)=LEFT(Control!$D$23,1),"YES","-"),"-")</f>
        <v>YES</v>
      </c>
      <c r="H148" s="549" t="str">
        <f>IF(INDEX('Weather Cases'!$G$10:$G$94,MATCH('Load Criteria'!X148,'Weather Cases'!$H$10:$H$94,0),1)="H","YES","")</f>
        <v>YES</v>
      </c>
      <c r="I148" s="557" t="s">
        <v>309</v>
      </c>
      <c r="J148" s="550">
        <f t="shared" si="31"/>
        <v>300</v>
      </c>
      <c r="K148" s="550" t="s">
        <v>88</v>
      </c>
      <c r="L148" s="550"/>
      <c r="M148" s="550"/>
      <c r="N148" s="550"/>
      <c r="O148" s="550"/>
      <c r="P148" s="392"/>
      <c r="Q148" s="392"/>
      <c r="R148" s="392"/>
      <c r="S148" s="392"/>
      <c r="T148" s="392"/>
      <c r="U148" s="550" t="str">
        <f t="shared" si="42"/>
        <v>BI-</v>
      </c>
      <c r="V148" s="560">
        <f t="shared" si="42"/>
        <v>-45</v>
      </c>
      <c r="W148" s="542" t="str">
        <f t="shared" si="47"/>
        <v>MT0300_A8+E BI--45</v>
      </c>
      <c r="X148" s="552" t="str">
        <f>I148&amp;TEXT(J148,"0000")&amp;"_"&amp;LEFT(Control!$D$23,1)&amp;LEFT(Control!$D$22,LEN(Control!$D$22)-2)</f>
        <v>MT0300_A8</v>
      </c>
      <c r="Y148" s="552" t="s">
        <v>433</v>
      </c>
      <c r="Z148" s="552" t="str">
        <f t="shared" si="43"/>
        <v>BI-</v>
      </c>
      <c r="AA148" s="552">
        <f t="shared" si="44"/>
        <v>-45</v>
      </c>
      <c r="AB148" s="552">
        <v>1</v>
      </c>
      <c r="AC148" s="552">
        <v>1</v>
      </c>
      <c r="AD148" s="552">
        <v>1</v>
      </c>
      <c r="AE148" s="552">
        <v>1</v>
      </c>
      <c r="AF148" s="552">
        <v>1</v>
      </c>
      <c r="AG148" s="542" t="s">
        <v>561</v>
      </c>
      <c r="AH148" s="552">
        <v>0</v>
      </c>
      <c r="AI148" s="552">
        <v>0</v>
      </c>
      <c r="AJ148" s="552">
        <v>1</v>
      </c>
      <c r="AK148" s="552">
        <v>1</v>
      </c>
      <c r="AL148" s="552">
        <v>1</v>
      </c>
      <c r="AM148" s="552">
        <v>0</v>
      </c>
      <c r="AN148" s="552">
        <v>0</v>
      </c>
      <c r="AO148" s="552">
        <v>1</v>
      </c>
      <c r="AP148" s="552">
        <v>1</v>
      </c>
      <c r="AQ148" s="552">
        <v>1</v>
      </c>
      <c r="AR148" s="552">
        <v>1</v>
      </c>
      <c r="AS148" s="552">
        <v>1</v>
      </c>
      <c r="AT148" s="552">
        <v>1</v>
      </c>
      <c r="AU148" s="552">
        <v>1</v>
      </c>
      <c r="AV148" s="553" t="str">
        <f>IF(H148="YES","'"&amp;INDEX('Structure Groups'!$C$12:$C$14,MATCH('Load Criteria'!$B$5,'Structure Groups'!$B$12:$B$14,0),1)&amp;"'","'All'")</f>
        <v>'GL Max 800m'</v>
      </c>
      <c r="AW148" s="552" t="s">
        <v>562</v>
      </c>
      <c r="AX148" s="552"/>
      <c r="AY148" s="552" t="str">
        <f t="shared" si="32"/>
        <v>No</v>
      </c>
      <c r="AZ148" s="554" t="str">
        <f t="shared" si="48"/>
        <v/>
      </c>
      <c r="BA148" s="554" t="str">
        <f t="shared" si="45"/>
        <v/>
      </c>
      <c r="BB148" s="552" t="str">
        <f t="shared" si="46"/>
        <v/>
      </c>
      <c r="BC148" s="554"/>
      <c r="BD148" s="552"/>
      <c r="BE148" s="554"/>
      <c r="BF148" s="554"/>
      <c r="BG148" s="554"/>
      <c r="BH148" s="554"/>
      <c r="BI148" s="554"/>
      <c r="BJ148" s="554"/>
      <c r="BK148" s="554"/>
      <c r="BL148" s="554"/>
      <c r="BM148" s="554"/>
      <c r="BN148" s="554"/>
      <c r="BO148" s="554"/>
      <c r="BP148" s="554"/>
      <c r="BQ148" s="554"/>
      <c r="BR148" s="554"/>
      <c r="BS148" s="554"/>
      <c r="BT148" s="554"/>
      <c r="BU148" s="554"/>
      <c r="BV148" s="554"/>
      <c r="BW148" s="554"/>
      <c r="BX148" s="554"/>
      <c r="BY148" s="554"/>
      <c r="BZ148" s="554"/>
      <c r="CA148" s="554"/>
      <c r="CB148" s="554"/>
      <c r="CC148" s="554"/>
      <c r="CD148" s="554"/>
      <c r="CE148" s="554"/>
      <c r="CF148" s="554"/>
      <c r="CG148" s="554"/>
      <c r="CH148" s="554"/>
      <c r="CI148" s="554"/>
      <c r="CJ148" s="554"/>
      <c r="CK148" s="554"/>
      <c r="CL148" s="554"/>
      <c r="CM148" s="554"/>
      <c r="CN148" s="554"/>
      <c r="CO148" s="554"/>
      <c r="CP148" s="554"/>
      <c r="CQ148" s="554"/>
      <c r="CR148" s="554"/>
      <c r="CS148" s="554"/>
      <c r="CT148" s="554"/>
      <c r="CU148" s="554"/>
      <c r="CV148" s="554"/>
      <c r="CW148" s="554"/>
      <c r="CX148" s="554"/>
      <c r="CY148" s="554"/>
      <c r="CZ148" s="554"/>
      <c r="DA148" s="554"/>
      <c r="DB148" s="554"/>
      <c r="DC148" s="554"/>
      <c r="DD148" s="554"/>
      <c r="DE148" s="534"/>
      <c r="DF148" s="534"/>
      <c r="DG148" s="534"/>
    </row>
    <row r="149" spans="1:111" ht="15" x14ac:dyDescent="0.25">
      <c r="A149" s="549">
        <f>IF(Control!$D$5="Y","-",1)</f>
        <v>1</v>
      </c>
      <c r="B149" s="555" t="s">
        <v>558</v>
      </c>
      <c r="C149" s="555" t="s">
        <v>559</v>
      </c>
      <c r="D149" s="555" t="s">
        <v>563</v>
      </c>
      <c r="E149" s="556" t="s">
        <v>22</v>
      </c>
      <c r="F149" s="556" t="s">
        <v>22</v>
      </c>
      <c r="G149" s="556" t="str">
        <f>IFERROR(IF(MID('Load Criteria'!X149,FIND("_",'Load Criteria'!X149,1)+1,1)=LEFT(Control!$D$23,1),"YES","-"),"-")</f>
        <v>YES</v>
      </c>
      <c r="H149" s="549" t="str">
        <f>IF(INDEX('Weather Cases'!$G$10:$G$94,MATCH('Load Criteria'!X149,'Weather Cases'!$H$10:$H$94,0),1)="H","YES","")</f>
        <v>YES</v>
      </c>
      <c r="I149" s="557" t="s">
        <v>309</v>
      </c>
      <c r="J149" s="550">
        <f t="shared" si="31"/>
        <v>300</v>
      </c>
      <c r="K149" s="550" t="s">
        <v>88</v>
      </c>
      <c r="L149" s="550"/>
      <c r="M149" s="550"/>
      <c r="N149" s="550"/>
      <c r="O149" s="550"/>
      <c r="P149" s="392"/>
      <c r="Q149" s="392"/>
      <c r="R149" s="392"/>
      <c r="S149" s="392"/>
      <c r="T149" s="392"/>
      <c r="U149" s="550" t="str">
        <f t="shared" si="42"/>
        <v>BI-</v>
      </c>
      <c r="V149" s="560">
        <f t="shared" si="42"/>
        <v>-90</v>
      </c>
      <c r="W149" s="542" t="str">
        <f t="shared" si="47"/>
        <v>MT0300_A8+E BI--90</v>
      </c>
      <c r="X149" s="552" t="str">
        <f>I149&amp;TEXT(J149,"0000")&amp;"_"&amp;LEFT(Control!$D$23,1)&amp;LEFT(Control!$D$22,LEN(Control!$D$22)-2)</f>
        <v>MT0300_A8</v>
      </c>
      <c r="Y149" s="552" t="s">
        <v>433</v>
      </c>
      <c r="Z149" s="552" t="str">
        <f t="shared" si="43"/>
        <v>BI-</v>
      </c>
      <c r="AA149" s="552">
        <f t="shared" si="44"/>
        <v>-90</v>
      </c>
      <c r="AB149" s="552">
        <v>1</v>
      </c>
      <c r="AC149" s="552">
        <v>1</v>
      </c>
      <c r="AD149" s="552">
        <v>1</v>
      </c>
      <c r="AE149" s="552">
        <v>1</v>
      </c>
      <c r="AF149" s="552">
        <v>1</v>
      </c>
      <c r="AG149" s="542" t="s">
        <v>561</v>
      </c>
      <c r="AH149" s="552">
        <v>0</v>
      </c>
      <c r="AI149" s="552">
        <v>0</v>
      </c>
      <c r="AJ149" s="552">
        <v>1</v>
      </c>
      <c r="AK149" s="552">
        <v>1</v>
      </c>
      <c r="AL149" s="552">
        <v>1</v>
      </c>
      <c r="AM149" s="552">
        <v>0</v>
      </c>
      <c r="AN149" s="552">
        <v>0</v>
      </c>
      <c r="AO149" s="552">
        <v>1</v>
      </c>
      <c r="AP149" s="552">
        <v>1</v>
      </c>
      <c r="AQ149" s="552">
        <v>1</v>
      </c>
      <c r="AR149" s="552">
        <v>1</v>
      </c>
      <c r="AS149" s="552">
        <v>1</v>
      </c>
      <c r="AT149" s="552">
        <v>1</v>
      </c>
      <c r="AU149" s="552">
        <v>1</v>
      </c>
      <c r="AV149" s="553" t="str">
        <f>IF(H149="YES","'"&amp;INDEX('Structure Groups'!$C$12:$C$14,MATCH('Load Criteria'!$B$5,'Structure Groups'!$B$12:$B$14,0),1)&amp;"'","'All'")</f>
        <v>'GL Max 800m'</v>
      </c>
      <c r="AW149" s="552" t="s">
        <v>562</v>
      </c>
      <c r="AX149" s="552"/>
      <c r="AY149" s="552" t="str">
        <f t="shared" si="32"/>
        <v>No</v>
      </c>
      <c r="AZ149" s="554" t="str">
        <f t="shared" si="48"/>
        <v/>
      </c>
      <c r="BA149" s="554" t="str">
        <f t="shared" si="45"/>
        <v/>
      </c>
      <c r="BB149" s="552" t="str">
        <f t="shared" si="46"/>
        <v/>
      </c>
      <c r="BC149" s="554"/>
      <c r="BD149" s="552"/>
      <c r="BE149" s="554"/>
      <c r="BF149" s="554"/>
      <c r="BG149" s="554"/>
      <c r="BH149" s="554"/>
      <c r="BI149" s="554"/>
      <c r="BJ149" s="554"/>
      <c r="BK149" s="554"/>
      <c r="BL149" s="554"/>
      <c r="BM149" s="554"/>
      <c r="BN149" s="554"/>
      <c r="BO149" s="554"/>
      <c r="BP149" s="554"/>
      <c r="BQ149" s="554"/>
      <c r="BR149" s="554"/>
      <c r="BS149" s="554"/>
      <c r="BT149" s="554"/>
      <c r="BU149" s="554"/>
      <c r="BV149" s="554"/>
      <c r="BW149" s="554"/>
      <c r="BX149" s="554"/>
      <c r="BY149" s="554"/>
      <c r="BZ149" s="554"/>
      <c r="CA149" s="554"/>
      <c r="CB149" s="554"/>
      <c r="CC149" s="554"/>
      <c r="CD149" s="554"/>
      <c r="CE149" s="554"/>
      <c r="CF149" s="554"/>
      <c r="CG149" s="554"/>
      <c r="CH149" s="554"/>
      <c r="CI149" s="554"/>
      <c r="CJ149" s="554"/>
      <c r="CK149" s="554"/>
      <c r="CL149" s="554"/>
      <c r="CM149" s="554"/>
      <c r="CN149" s="554"/>
      <c r="CO149" s="554"/>
      <c r="CP149" s="554"/>
      <c r="CQ149" s="554"/>
      <c r="CR149" s="554"/>
      <c r="CS149" s="554"/>
      <c r="CT149" s="554"/>
      <c r="CU149" s="554"/>
      <c r="CV149" s="554"/>
      <c r="CW149" s="554"/>
      <c r="CX149" s="554"/>
      <c r="CY149" s="554"/>
      <c r="CZ149" s="554"/>
      <c r="DA149" s="554"/>
      <c r="DB149" s="554"/>
      <c r="DC149" s="554"/>
      <c r="DD149" s="554"/>
      <c r="DE149" s="534"/>
      <c r="DF149" s="534"/>
      <c r="DG149" s="534"/>
    </row>
    <row r="150" spans="1:111" ht="15" hidden="1" x14ac:dyDescent="0.25">
      <c r="A150" s="549" t="str">
        <f>IFERROR(IF(INDEX('Weather Cases'!$E$10:$E$94,MATCH('Load Criteria'!X150,'Weather Cases'!$H$10:$H$94,0),1)=1,1,"-"),"-")</f>
        <v>-</v>
      </c>
      <c r="B150" s="556" t="s">
        <v>22</v>
      </c>
      <c r="C150" s="556" t="s">
        <v>22</v>
      </c>
      <c r="D150" s="556" t="s">
        <v>22</v>
      </c>
      <c r="E150" s="556" t="s">
        <v>22</v>
      </c>
      <c r="F150" s="556" t="s">
        <v>22</v>
      </c>
      <c r="G150" s="556" t="str">
        <f>IFERROR(IF(MID('Load Criteria'!X150,FIND("_",'Load Criteria'!X150,1)+1,1)=LEFT(Control!$D$23,1),"YES","-"),"-")</f>
        <v>-</v>
      </c>
      <c r="H150" s="549" t="s">
        <v>22</v>
      </c>
      <c r="I150" s="254" t="s">
        <v>566</v>
      </c>
      <c r="J150" s="550"/>
      <c r="K150" s="550"/>
      <c r="L150" s="550"/>
      <c r="M150" s="550"/>
      <c r="N150" s="550"/>
      <c r="O150" s="550"/>
      <c r="P150" s="392"/>
      <c r="Q150" s="392"/>
      <c r="R150" s="392"/>
      <c r="S150" s="392"/>
      <c r="T150" s="392"/>
      <c r="U150" s="550"/>
      <c r="V150" s="551"/>
      <c r="W150" s="542"/>
      <c r="X150" s="552"/>
      <c r="Y150" s="552"/>
      <c r="Z150" s="552"/>
      <c r="AA150" s="552"/>
      <c r="AB150" s="552"/>
      <c r="AC150" s="552"/>
      <c r="AD150" s="552"/>
      <c r="AE150" s="552"/>
      <c r="AF150" s="552"/>
      <c r="AG150" s="542"/>
      <c r="AH150" s="552"/>
      <c r="AI150" s="552"/>
      <c r="AJ150" s="552"/>
      <c r="AK150" s="552"/>
      <c r="AL150" s="552"/>
      <c r="AM150" s="552"/>
      <c r="AN150" s="552"/>
      <c r="AO150" s="552"/>
      <c r="AP150" s="552"/>
      <c r="AQ150" s="552"/>
      <c r="AR150" s="552"/>
      <c r="AS150" s="552"/>
      <c r="AT150" s="552"/>
      <c r="AU150" s="552"/>
      <c r="AV150" s="553"/>
      <c r="AW150" s="552"/>
      <c r="AX150" s="552"/>
      <c r="AY150" s="552"/>
      <c r="AZ150" s="554"/>
      <c r="BA150" s="554" t="str">
        <f>IF(AZ150="","","% Wire Wind Pressure")</f>
        <v/>
      </c>
      <c r="BB150" s="552"/>
      <c r="BC150" s="554"/>
      <c r="BD150" s="552"/>
      <c r="BE150" s="554"/>
      <c r="BF150" s="554"/>
      <c r="BG150" s="554"/>
      <c r="BH150" s="554"/>
      <c r="BI150" s="554"/>
      <c r="BJ150" s="554"/>
      <c r="BK150" s="554"/>
      <c r="BL150" s="554"/>
      <c r="BM150" s="554"/>
      <c r="BN150" s="554"/>
      <c r="BO150" s="554"/>
      <c r="BP150" s="554"/>
      <c r="BQ150" s="554"/>
      <c r="BR150" s="554"/>
      <c r="BS150" s="554"/>
      <c r="BT150" s="554"/>
      <c r="BU150" s="554"/>
      <c r="BV150" s="554"/>
      <c r="BW150" s="554"/>
      <c r="BX150" s="554"/>
      <c r="BY150" s="554"/>
      <c r="BZ150" s="554"/>
      <c r="CA150" s="554"/>
      <c r="CB150" s="554"/>
      <c r="CC150" s="554"/>
      <c r="CD150" s="554"/>
      <c r="CE150" s="554"/>
      <c r="CF150" s="554"/>
      <c r="CG150" s="554"/>
      <c r="CH150" s="554"/>
      <c r="CI150" s="554"/>
      <c r="CJ150" s="554"/>
      <c r="CK150" s="554"/>
      <c r="CL150" s="554"/>
      <c r="CM150" s="554"/>
      <c r="CN150" s="554"/>
      <c r="CO150" s="554"/>
      <c r="CP150" s="554"/>
      <c r="CQ150" s="554"/>
      <c r="CR150" s="554"/>
      <c r="CS150" s="554"/>
      <c r="CT150" s="554"/>
      <c r="CU150" s="554"/>
      <c r="CV150" s="554"/>
      <c r="CW150" s="554"/>
      <c r="CX150" s="554"/>
      <c r="CY150" s="554"/>
      <c r="CZ150" s="554"/>
      <c r="DA150" s="554"/>
      <c r="DB150" s="554"/>
      <c r="DC150" s="554"/>
      <c r="DD150" s="554"/>
      <c r="DE150" s="534"/>
      <c r="DF150" s="534"/>
      <c r="DG150" s="534"/>
    </row>
    <row r="151" spans="1:111" ht="15" x14ac:dyDescent="0.25">
      <c r="A151" s="549">
        <f>IFERROR(IF(INDEX('Weather Cases'!$E$10:$E$94,MATCH('Load Criteria'!X151,'Weather Cases'!$H$10:$H$94,0),1)=1,1,"-"),"-")</f>
        <v>1</v>
      </c>
      <c r="B151" s="555" t="s">
        <v>558</v>
      </c>
      <c r="C151" s="555" t="s">
        <v>559</v>
      </c>
      <c r="D151" s="555" t="s">
        <v>567</v>
      </c>
      <c r="E151" s="556" t="s">
        <v>22</v>
      </c>
      <c r="F151" s="556" t="s">
        <v>22</v>
      </c>
      <c r="G151" s="556" t="str">
        <f>IFERROR(IF(MID('Load Criteria'!X151,FIND("_",'Load Criteria'!X151,1)+1,1)=LEFT(Control!$D$23,1),"YES","-"),"-")</f>
        <v>-</v>
      </c>
      <c r="H151" s="549" t="str">
        <f>IF(INDEX('Weather Cases'!$G$10:$G$94,MATCH('Load Criteria'!X151,'Weather Cases'!$H$10:$H$94,0),1)="H","YES","")</f>
        <v>YES</v>
      </c>
      <c r="I151" s="557" t="s">
        <v>316</v>
      </c>
      <c r="J151" s="550">
        <v>50</v>
      </c>
      <c r="K151" s="508" t="s">
        <v>88</v>
      </c>
      <c r="L151" s="508"/>
      <c r="M151" s="508"/>
      <c r="N151" s="508"/>
      <c r="O151" s="508"/>
      <c r="P151" s="395"/>
      <c r="Q151" s="395"/>
      <c r="R151" s="395"/>
      <c r="S151" s="395"/>
      <c r="T151" s="395"/>
      <c r="U151" s="255" t="s">
        <v>568</v>
      </c>
      <c r="V151" s="551" t="s">
        <v>300</v>
      </c>
      <c r="W151" s="542" t="str">
        <f>X151&amp;"+"&amp;K151&amp;IF(L151="","",CONCATENATE(L151,M151,N151,O151))&amp;" "&amp;U151</f>
        <v>ES0050_8+E NA+</v>
      </c>
      <c r="X151" s="552" t="str">
        <f>I151&amp;TEXT(J151,"0000")&amp;"_"&amp;LEFT(Control!$D$22,LEN(Control!$D$22)-2)</f>
        <v>ES0050_8</v>
      </c>
      <c r="Y151" s="552" t="s">
        <v>433</v>
      </c>
      <c r="Z151" s="552" t="str">
        <f t="shared" ref="Z151:Z166" si="49">U151</f>
        <v>NA+</v>
      </c>
      <c r="AA151" s="552"/>
      <c r="AB151" s="552">
        <v>1</v>
      </c>
      <c r="AC151" s="552">
        <v>1</v>
      </c>
      <c r="AD151" s="552">
        <v>1</v>
      </c>
      <c r="AE151" s="552">
        <v>1</v>
      </c>
      <c r="AF151" s="552">
        <v>1</v>
      </c>
      <c r="AG151" s="542" t="s">
        <v>561</v>
      </c>
      <c r="AH151" s="552">
        <v>0</v>
      </c>
      <c r="AI151" s="552">
        <v>0</v>
      </c>
      <c r="AJ151" s="552">
        <v>1</v>
      </c>
      <c r="AK151" s="552">
        <v>1</v>
      </c>
      <c r="AL151" s="552">
        <v>1</v>
      </c>
      <c r="AM151" s="552">
        <v>0</v>
      </c>
      <c r="AN151" s="552">
        <v>0</v>
      </c>
      <c r="AO151" s="552">
        <v>1</v>
      </c>
      <c r="AP151" s="552">
        <v>1</v>
      </c>
      <c r="AQ151" s="552">
        <v>1</v>
      </c>
      <c r="AR151" s="552">
        <v>1</v>
      </c>
      <c r="AS151" s="552">
        <v>1</v>
      </c>
      <c r="AT151" s="552">
        <v>1</v>
      </c>
      <c r="AU151" s="552">
        <v>1</v>
      </c>
      <c r="AV151" s="553" t="str">
        <f>IF(H151="YES","'"&amp;INDEX('Structure Groups'!$C$12:$C$14,MATCH('Load Criteria'!$B$5,'Structure Groups'!$B$12:$B$14,0),1)&amp;"'","'All'")</f>
        <v>'GL Max 800m'</v>
      </c>
      <c r="AW151" s="552" t="s">
        <v>562</v>
      </c>
      <c r="AX151" s="552"/>
      <c r="AY151" s="552" t="str">
        <f t="shared" ref="AY151:AY172" si="50">IF(L151="","No","Yes")</f>
        <v>No</v>
      </c>
      <c r="AZ151" s="554" t="str">
        <f>IF(AY151="No","",IF(L151="A","Ahead Spans","Back Spans"))</f>
        <v/>
      </c>
      <c r="BA151" s="554"/>
      <c r="BB151" s="552"/>
      <c r="BC151" s="554"/>
      <c r="BD151" s="552"/>
      <c r="BE151" s="554"/>
      <c r="BF151" s="554"/>
      <c r="BG151" s="554"/>
      <c r="BH151" s="554"/>
      <c r="BI151" s="554"/>
      <c r="BJ151" s="554"/>
      <c r="BK151" s="554"/>
      <c r="BL151" s="554"/>
      <c r="BM151" s="554"/>
      <c r="BN151" s="554"/>
      <c r="BO151" s="554"/>
      <c r="BP151" s="554"/>
      <c r="BQ151" s="554"/>
      <c r="BR151" s="554"/>
      <c r="BS151" s="554"/>
      <c r="BT151" s="554"/>
      <c r="BU151" s="554"/>
      <c r="BV151" s="554"/>
      <c r="BW151" s="554"/>
      <c r="BX151" s="554"/>
      <c r="BY151" s="554"/>
      <c r="BZ151" s="554"/>
      <c r="CA151" s="554"/>
      <c r="CB151" s="554"/>
      <c r="CC151" s="554"/>
      <c r="CD151" s="554"/>
      <c r="CE151" s="554"/>
      <c r="CF151" s="554"/>
      <c r="CG151" s="554"/>
      <c r="CH151" s="554"/>
      <c r="CI151" s="554"/>
      <c r="CJ151" s="554"/>
      <c r="CK151" s="554"/>
      <c r="CL151" s="554"/>
      <c r="CM151" s="554"/>
      <c r="CN151" s="554"/>
      <c r="CO151" s="554"/>
      <c r="CP151" s="554"/>
      <c r="CQ151" s="554"/>
      <c r="CR151" s="554"/>
      <c r="CS151" s="554"/>
      <c r="CT151" s="554"/>
      <c r="CU151" s="554"/>
      <c r="CV151" s="554"/>
      <c r="CW151" s="554"/>
      <c r="CX151" s="554"/>
      <c r="CY151" s="554"/>
      <c r="CZ151" s="554"/>
      <c r="DA151" s="554"/>
      <c r="DB151" s="554"/>
      <c r="DC151" s="554"/>
      <c r="DD151" s="554"/>
      <c r="DE151" s="534"/>
      <c r="DF151" s="534"/>
      <c r="DG151" s="534"/>
    </row>
    <row r="152" spans="1:111" ht="15" x14ac:dyDescent="0.25">
      <c r="A152" s="549">
        <f>IFERROR(IF(INDEX('Weather Cases'!$E$10:$E$94,MATCH('Load Criteria'!X152,'Weather Cases'!$H$10:$H$94,0),1)=1,1,"-"),"-")</f>
        <v>1</v>
      </c>
      <c r="B152" s="555" t="s">
        <v>558</v>
      </c>
      <c r="C152" s="555" t="s">
        <v>559</v>
      </c>
      <c r="D152" s="555" t="s">
        <v>567</v>
      </c>
      <c r="E152" s="556" t="s">
        <v>22</v>
      </c>
      <c r="F152" s="556" t="s">
        <v>22</v>
      </c>
      <c r="G152" s="556" t="str">
        <f>IFERROR(IF(MID('Load Criteria'!X152,FIND("_",'Load Criteria'!X152,1)+1,1)=LEFT(Control!$D$23,1),"YES","-"),"-")</f>
        <v>-</v>
      </c>
      <c r="H152" s="549" t="str">
        <f>IF(INDEX('Weather Cases'!$G$10:$G$94,MATCH('Load Criteria'!X152,'Weather Cases'!$H$10:$H$94,0),1)="H","YES","")</f>
        <v>YES</v>
      </c>
      <c r="I152" s="557" t="s">
        <v>316</v>
      </c>
      <c r="J152" s="550">
        <v>50</v>
      </c>
      <c r="K152" s="508" t="s">
        <v>569</v>
      </c>
      <c r="L152" s="508" t="s">
        <v>24</v>
      </c>
      <c r="M152" s="508"/>
      <c r="N152" s="508"/>
      <c r="O152" s="508"/>
      <c r="P152" s="395"/>
      <c r="Q152" s="395"/>
      <c r="R152" s="395"/>
      <c r="S152" s="395"/>
      <c r="T152" s="395"/>
      <c r="U152" s="255" t="s">
        <v>568</v>
      </c>
      <c r="V152" s="551" t="s">
        <v>300</v>
      </c>
      <c r="W152" s="542" t="str">
        <f t="shared" ref="W152:W215" si="51">X152&amp;"+"&amp;K152&amp;IF(L152="","",CONCATENATE(L152,M152,N152,O152))&amp;" "&amp;U152</f>
        <v>ES0050_8+LA NA+</v>
      </c>
      <c r="X152" s="552" t="str">
        <f>I152&amp;TEXT(J152,"0000")&amp;"_"&amp;LEFT(Control!$D$22,LEN(Control!$D$22)-2)</f>
        <v>ES0050_8</v>
      </c>
      <c r="Y152" s="552" t="s">
        <v>433</v>
      </c>
      <c r="Z152" s="552" t="str">
        <f t="shared" si="49"/>
        <v>NA+</v>
      </c>
      <c r="AA152" s="552"/>
      <c r="AB152" s="552">
        <v>1</v>
      </c>
      <c r="AC152" s="552">
        <v>1</v>
      </c>
      <c r="AD152" s="552">
        <v>1</v>
      </c>
      <c r="AE152" s="552">
        <v>1</v>
      </c>
      <c r="AF152" s="552">
        <v>1</v>
      </c>
      <c r="AG152" s="542" t="s">
        <v>561</v>
      </c>
      <c r="AH152" s="552">
        <v>0</v>
      </c>
      <c r="AI152" s="552">
        <v>0</v>
      </c>
      <c r="AJ152" s="552">
        <v>1</v>
      </c>
      <c r="AK152" s="552">
        <v>1</v>
      </c>
      <c r="AL152" s="552">
        <v>1</v>
      </c>
      <c r="AM152" s="552">
        <v>0</v>
      </c>
      <c r="AN152" s="552">
        <v>0</v>
      </c>
      <c r="AO152" s="552">
        <v>1</v>
      </c>
      <c r="AP152" s="552">
        <v>1</v>
      </c>
      <c r="AQ152" s="552">
        <v>1</v>
      </c>
      <c r="AR152" s="552">
        <v>1</v>
      </c>
      <c r="AS152" s="552">
        <v>1</v>
      </c>
      <c r="AT152" s="552">
        <v>1</v>
      </c>
      <c r="AU152" s="552">
        <v>1</v>
      </c>
      <c r="AV152" s="553" t="str">
        <f>IF(H152="YES","'"&amp;INDEX('Structure Groups'!$C$12:$C$14,MATCH('Load Criteria'!$B$5,'Structure Groups'!$B$12:$B$14,0),1)&amp;"'","'All'")</f>
        <v>'GL Max 800m'</v>
      </c>
      <c r="AW152" s="552" t="s">
        <v>562</v>
      </c>
      <c r="AX152" s="552"/>
      <c r="AY152" s="552" t="str">
        <f t="shared" si="50"/>
        <v>Yes</v>
      </c>
      <c r="AZ152" s="554" t="str">
        <f>IF($AY152="No","",IF($L152="A","Ahead Spans","Back Spans"))</f>
        <v>Ahead Spans</v>
      </c>
      <c r="BA152" s="554" t="str">
        <f>IF(AZ152="","","% Wire Ice")</f>
        <v>% Wire Ice</v>
      </c>
      <c r="BB152" s="552">
        <f>IF(AZ152="","",40)</f>
        <v>40</v>
      </c>
      <c r="BC152" s="554" t="str">
        <f>IF($AY152="No","",IF($L152="A","Back Spans","Ahead Spans"))</f>
        <v>Back Spans</v>
      </c>
      <c r="BD152" s="554" t="str">
        <f>IF(BC152="","","% Wire Ice")</f>
        <v>% Wire Ice</v>
      </c>
      <c r="BE152" s="552">
        <f>IF(BB152="","",70)</f>
        <v>70</v>
      </c>
      <c r="BF152" s="554"/>
      <c r="BG152" s="554"/>
      <c r="BH152" s="554"/>
      <c r="BI152" s="554"/>
      <c r="BJ152" s="554"/>
      <c r="BK152" s="554"/>
      <c r="BL152" s="554"/>
      <c r="BM152" s="554"/>
      <c r="BN152" s="554"/>
      <c r="BO152" s="554"/>
      <c r="BP152" s="554"/>
      <c r="BQ152" s="554"/>
      <c r="BR152" s="554"/>
      <c r="BS152" s="554"/>
      <c r="BT152" s="554"/>
      <c r="BU152" s="554"/>
      <c r="BV152" s="554"/>
      <c r="BW152" s="554"/>
      <c r="BX152" s="554"/>
      <c r="BY152" s="554"/>
      <c r="BZ152" s="554"/>
      <c r="CA152" s="554"/>
      <c r="CB152" s="554"/>
      <c r="CC152" s="554"/>
      <c r="CD152" s="554"/>
      <c r="CE152" s="554"/>
      <c r="CF152" s="554"/>
      <c r="CG152" s="554"/>
      <c r="CH152" s="554"/>
      <c r="CI152" s="554"/>
      <c r="CJ152" s="554"/>
      <c r="CK152" s="554"/>
      <c r="CL152" s="554"/>
      <c r="CM152" s="554"/>
      <c r="CN152" s="554"/>
      <c r="CO152" s="554"/>
      <c r="CP152" s="554"/>
      <c r="CQ152" s="554"/>
      <c r="CR152" s="554"/>
      <c r="CS152" s="554"/>
      <c r="CT152" s="554"/>
      <c r="CU152" s="554"/>
      <c r="CV152" s="554"/>
      <c r="CW152" s="554"/>
      <c r="CX152" s="554"/>
      <c r="CY152" s="554"/>
      <c r="CZ152" s="554"/>
      <c r="DA152" s="554"/>
      <c r="DB152" s="554"/>
      <c r="DC152" s="554"/>
      <c r="DD152" s="554"/>
      <c r="DE152" s="534"/>
      <c r="DF152" s="534"/>
      <c r="DG152" s="534"/>
    </row>
    <row r="153" spans="1:111" ht="15" x14ac:dyDescent="0.25">
      <c r="A153" s="549">
        <f>IFERROR(IF(INDEX('Weather Cases'!$E$10:$E$94,MATCH('Load Criteria'!X153,'Weather Cases'!$H$10:$H$94,0),1)=1,1,"-"),"-")</f>
        <v>1</v>
      </c>
      <c r="B153" s="555" t="s">
        <v>558</v>
      </c>
      <c r="C153" s="555" t="s">
        <v>559</v>
      </c>
      <c r="D153" s="555" t="s">
        <v>567</v>
      </c>
      <c r="E153" s="556" t="s">
        <v>22</v>
      </c>
      <c r="F153" s="556" t="s">
        <v>22</v>
      </c>
      <c r="G153" s="556" t="str">
        <f>IFERROR(IF(MID('Load Criteria'!X153,FIND("_",'Load Criteria'!X153,1)+1,1)=LEFT(Control!$D$23,1),"YES","-"),"-")</f>
        <v>-</v>
      </c>
      <c r="H153" s="549" t="str">
        <f>IF(INDEX('Weather Cases'!$G$10:$G$94,MATCH('Load Criteria'!X153,'Weather Cases'!$H$10:$H$94,0),1)="H","YES","")</f>
        <v>YES</v>
      </c>
      <c r="I153" s="557" t="s">
        <v>316</v>
      </c>
      <c r="J153" s="550">
        <v>50</v>
      </c>
      <c r="K153" s="508" t="s">
        <v>569</v>
      </c>
      <c r="L153" s="508" t="s">
        <v>40</v>
      </c>
      <c r="M153" s="508"/>
      <c r="N153" s="508"/>
      <c r="O153" s="508"/>
      <c r="P153" s="395"/>
      <c r="Q153" s="395"/>
      <c r="R153" s="395"/>
      <c r="S153" s="395"/>
      <c r="T153" s="395"/>
      <c r="U153" s="255" t="s">
        <v>568</v>
      </c>
      <c r="V153" s="551" t="s">
        <v>300</v>
      </c>
      <c r="W153" s="542" t="str">
        <f t="shared" si="51"/>
        <v>ES0050_8+LB NA+</v>
      </c>
      <c r="X153" s="552" t="str">
        <f>I153&amp;TEXT(J153,"0000")&amp;"_"&amp;LEFT(Control!$D$22,LEN(Control!$D$22)-2)</f>
        <v>ES0050_8</v>
      </c>
      <c r="Y153" s="552" t="s">
        <v>433</v>
      </c>
      <c r="Z153" s="552" t="str">
        <f t="shared" si="49"/>
        <v>NA+</v>
      </c>
      <c r="AA153" s="552"/>
      <c r="AB153" s="552">
        <v>1</v>
      </c>
      <c r="AC153" s="552">
        <v>1</v>
      </c>
      <c r="AD153" s="552">
        <v>1</v>
      </c>
      <c r="AE153" s="552">
        <v>1</v>
      </c>
      <c r="AF153" s="552">
        <v>1</v>
      </c>
      <c r="AG153" s="542" t="s">
        <v>561</v>
      </c>
      <c r="AH153" s="552">
        <v>0</v>
      </c>
      <c r="AI153" s="552">
        <v>0</v>
      </c>
      <c r="AJ153" s="552">
        <v>1</v>
      </c>
      <c r="AK153" s="552">
        <v>1</v>
      </c>
      <c r="AL153" s="552">
        <v>1</v>
      </c>
      <c r="AM153" s="552">
        <v>0</v>
      </c>
      <c r="AN153" s="552">
        <v>0</v>
      </c>
      <c r="AO153" s="552">
        <v>1</v>
      </c>
      <c r="AP153" s="552">
        <v>1</v>
      </c>
      <c r="AQ153" s="552">
        <v>1</v>
      </c>
      <c r="AR153" s="552">
        <v>1</v>
      </c>
      <c r="AS153" s="552">
        <v>1</v>
      </c>
      <c r="AT153" s="552">
        <v>1</v>
      </c>
      <c r="AU153" s="552">
        <v>1</v>
      </c>
      <c r="AV153" s="553" t="str">
        <f>IF(H153="YES","'"&amp;INDEX('Structure Groups'!$C$12:$C$14,MATCH('Load Criteria'!$B$5,'Structure Groups'!$B$12:$B$14,0),1)&amp;"'","'All'")</f>
        <v>'GL Max 800m'</v>
      </c>
      <c r="AW153" s="552" t="s">
        <v>562</v>
      </c>
      <c r="AX153" s="552"/>
      <c r="AY153" s="552" t="str">
        <f t="shared" si="50"/>
        <v>Yes</v>
      </c>
      <c r="AZ153" s="554" t="str">
        <f>IF($AY153="No","",IF($L153="A","Ahead Spans","Back Spans"))</f>
        <v>Back Spans</v>
      </c>
      <c r="BA153" s="554" t="str">
        <f>IF(AZ153="","","% Wire Ice")</f>
        <v>% Wire Ice</v>
      </c>
      <c r="BB153" s="552">
        <f>IF(AZ153="","",40)</f>
        <v>40</v>
      </c>
      <c r="BC153" s="554" t="str">
        <f>IF($AY153="No","",IF($L153="A","Back Spans","Ahead Spans"))</f>
        <v>Ahead Spans</v>
      </c>
      <c r="BD153" s="554" t="str">
        <f>IF(BC153="","","% Wire Ice")</f>
        <v>% Wire Ice</v>
      </c>
      <c r="BE153" s="552">
        <f>IF(BB153="","",70)</f>
        <v>70</v>
      </c>
      <c r="BF153" s="554"/>
      <c r="BG153" s="554"/>
      <c r="BH153" s="554"/>
      <c r="BI153" s="554"/>
      <c r="BJ153" s="554"/>
      <c r="BK153" s="554"/>
      <c r="BL153" s="554"/>
      <c r="BM153" s="554"/>
      <c r="BN153" s="554"/>
      <c r="BO153" s="554"/>
      <c r="BP153" s="554"/>
      <c r="BQ153" s="554"/>
      <c r="BR153" s="554"/>
      <c r="BS153" s="554"/>
      <c r="BT153" s="554"/>
      <c r="BU153" s="554"/>
      <c r="BV153" s="554"/>
      <c r="BW153" s="554"/>
      <c r="BX153" s="554"/>
      <c r="BY153" s="554"/>
      <c r="BZ153" s="554"/>
      <c r="CA153" s="554"/>
      <c r="CB153" s="554"/>
      <c r="CC153" s="554"/>
      <c r="CD153" s="554"/>
      <c r="CE153" s="554"/>
      <c r="CF153" s="554"/>
      <c r="CG153" s="554"/>
      <c r="CH153" s="554"/>
      <c r="CI153" s="554"/>
      <c r="CJ153" s="554"/>
      <c r="CK153" s="554"/>
      <c r="CL153" s="554"/>
      <c r="CM153" s="554"/>
      <c r="CN153" s="554"/>
      <c r="CO153" s="554"/>
      <c r="CP153" s="554"/>
      <c r="CQ153" s="554"/>
      <c r="CR153" s="554"/>
      <c r="CS153" s="554"/>
      <c r="CT153" s="554"/>
      <c r="CU153" s="554"/>
      <c r="CV153" s="554"/>
      <c r="CW153" s="554"/>
      <c r="CX153" s="554"/>
      <c r="CY153" s="554"/>
      <c r="CZ153" s="554"/>
      <c r="DA153" s="554"/>
      <c r="DB153" s="554"/>
      <c r="DC153" s="554"/>
      <c r="DD153" s="554"/>
      <c r="DE153" s="534"/>
      <c r="DF153" s="534"/>
      <c r="DG153" s="534"/>
    </row>
    <row r="154" spans="1:111" ht="15" hidden="1" x14ac:dyDescent="0.25">
      <c r="A154" s="549">
        <f>IFERROR(IF(INDEX('Weather Cases'!$E$10:$E$94,MATCH('Load Criteria'!X154,'Weather Cases'!$H$10:$H$94,0),1)=1,1,"-"),"-")</f>
        <v>1</v>
      </c>
      <c r="B154" s="555" t="s">
        <v>558</v>
      </c>
      <c r="C154" s="555" t="s">
        <v>570</v>
      </c>
      <c r="D154" s="555" t="s">
        <v>567</v>
      </c>
      <c r="E154" s="556" t="s">
        <v>22</v>
      </c>
      <c r="F154" s="556" t="s">
        <v>22</v>
      </c>
      <c r="G154" s="556" t="str">
        <f>IFERROR(IF(MID('Load Criteria'!X154,FIND("_",'Load Criteria'!X154,1)+1,1)=LEFT(Control!$D$23,1),"YES","-"),"-")</f>
        <v>-</v>
      </c>
      <c r="H154" s="549" t="str">
        <f>IF(INDEX('Weather Cases'!$G$10:$G$94,MATCH('Load Criteria'!X154,'Weather Cases'!$H$10:$H$94,0),1)="H","YES","")</f>
        <v>YES</v>
      </c>
      <c r="I154" s="557" t="s">
        <v>316</v>
      </c>
      <c r="J154" s="550">
        <v>50</v>
      </c>
      <c r="K154" s="508" t="s">
        <v>571</v>
      </c>
      <c r="L154" s="508" t="s">
        <v>24</v>
      </c>
      <c r="M154" s="508">
        <v>1</v>
      </c>
      <c r="N154" s="508">
        <v>2</v>
      </c>
      <c r="O154" s="508"/>
      <c r="P154" s="395">
        <v>3</v>
      </c>
      <c r="Q154" s="395">
        <v>7</v>
      </c>
      <c r="R154" s="395">
        <v>8</v>
      </c>
      <c r="S154" s="395"/>
      <c r="T154" s="395"/>
      <c r="U154" s="255" t="s">
        <v>568</v>
      </c>
      <c r="V154" s="551" t="s">
        <v>300</v>
      </c>
      <c r="W154" s="542" t="str">
        <f t="shared" si="51"/>
        <v>ES0050_8+TA12 NA+</v>
      </c>
      <c r="X154" s="552" t="str">
        <f>I154&amp;TEXT(J154,"0000")&amp;"_"&amp;LEFT(Control!$D$22,LEN(Control!$D$22)-2)</f>
        <v>ES0050_8</v>
      </c>
      <c r="Y154" s="552" t="s">
        <v>433</v>
      </c>
      <c r="Z154" s="552" t="str">
        <f t="shared" si="49"/>
        <v>NA+</v>
      </c>
      <c r="AA154" s="552"/>
      <c r="AB154" s="552">
        <v>1</v>
      </c>
      <c r="AC154" s="552">
        <v>1</v>
      </c>
      <c r="AD154" s="552">
        <v>1</v>
      </c>
      <c r="AE154" s="552">
        <v>1</v>
      </c>
      <c r="AF154" s="552">
        <v>1</v>
      </c>
      <c r="AG154" s="542" t="s">
        <v>561</v>
      </c>
      <c r="AH154" s="552">
        <v>0</v>
      </c>
      <c r="AI154" s="552">
        <v>0</v>
      </c>
      <c r="AJ154" s="552">
        <v>1</v>
      </c>
      <c r="AK154" s="552">
        <v>1</v>
      </c>
      <c r="AL154" s="552">
        <v>1</v>
      </c>
      <c r="AM154" s="552">
        <v>0</v>
      </c>
      <c r="AN154" s="552">
        <v>0</v>
      </c>
      <c r="AO154" s="552">
        <v>1</v>
      </c>
      <c r="AP154" s="552">
        <v>1</v>
      </c>
      <c r="AQ154" s="552">
        <v>1</v>
      </c>
      <c r="AR154" s="552">
        <v>1</v>
      </c>
      <c r="AS154" s="552">
        <v>1</v>
      </c>
      <c r="AT154" s="552">
        <v>1</v>
      </c>
      <c r="AU154" s="552"/>
      <c r="AV154" s="553" t="str">
        <f>IF(H154="YES","'"&amp;INDEX('Structure Groups'!$C$12:$C$14,MATCH('Load Criteria'!$B$5,'Structure Groups'!$B$12:$B$14,0),1)&amp;"'","'All'")</f>
        <v>'GL Max 800m'</v>
      </c>
      <c r="AW154" s="552" t="s">
        <v>562</v>
      </c>
      <c r="AX154" s="552"/>
      <c r="AY154" s="552" t="str">
        <f t="shared" si="50"/>
        <v>Yes</v>
      </c>
      <c r="AZ154" s="389" t="str">
        <f>$M154&amp;":1:"&amp;IF($L154="A","Ahead","Back")</f>
        <v>1:1:Ahead</v>
      </c>
      <c r="BA154" s="554" t="s">
        <v>572</v>
      </c>
      <c r="BB154" s="391">
        <v>40</v>
      </c>
      <c r="BC154" s="579" t="str">
        <f t="shared" ref="BC154:BC161" si="52">$M154+10&amp;":1:"&amp;"Ahead"</f>
        <v>11:1:Ahead</v>
      </c>
      <c r="BD154" s="554" t="s">
        <v>572</v>
      </c>
      <c r="BE154" s="580">
        <f t="shared" ref="BE154" si="53">IF($L154="A",40,70)</f>
        <v>40</v>
      </c>
      <c r="BF154" s="389" t="str">
        <f>$M154&amp;":1:"&amp;IF($L154="A","Back","Ahead")</f>
        <v>1:1:Back</v>
      </c>
      <c r="BG154" s="554" t="str">
        <f>IF(BF154="","","% Wire Ice")</f>
        <v>% Wire Ice</v>
      </c>
      <c r="BH154" s="391">
        <v>70</v>
      </c>
      <c r="BI154" s="389" t="str">
        <f>$N154&amp;":1:"&amp;IF($L154="A","Ahead","Back")</f>
        <v>2:1:Ahead</v>
      </c>
      <c r="BJ154" s="554" t="s">
        <v>572</v>
      </c>
      <c r="BK154" s="391">
        <v>40</v>
      </c>
      <c r="BL154" s="579" t="str">
        <f t="shared" ref="BL154" si="54">$N154+10&amp;":1:"&amp;"Ahead"</f>
        <v>12:1:Ahead</v>
      </c>
      <c r="BM154" s="554" t="s">
        <v>572</v>
      </c>
      <c r="BN154" s="580">
        <f t="shared" ref="BN154" si="55">IF($L154="A",40,70)</f>
        <v>40</v>
      </c>
      <c r="BO154" s="389" t="str">
        <f>$N154&amp;":1:"&amp;IF($L154="A","Back","Ahead")</f>
        <v>2:1:Back</v>
      </c>
      <c r="BP154" s="554" t="str">
        <f>IF(BO154="","","% Wire Ice")</f>
        <v>% Wire Ice</v>
      </c>
      <c r="BQ154" s="391">
        <v>70</v>
      </c>
      <c r="BR154" s="389" t="str">
        <f>IF($O154="","",$O154&amp;":1:"&amp;IF($L154="A","Ahead","Back"))</f>
        <v/>
      </c>
      <c r="BS154" s="554" t="str">
        <f>IF($O154="","","% Wire Ice")</f>
        <v/>
      </c>
      <c r="BT154" s="391" t="str">
        <f>IF($O154="","",40)</f>
        <v/>
      </c>
      <c r="BU154" s="389" t="str">
        <f>IF($O154="","",$O154+10&amp;":1:"&amp;IF($L154="A","Ahead","Back"))</f>
        <v/>
      </c>
      <c r="BV154" s="554" t="str">
        <f>IF($O154="","","% Wire Ice")</f>
        <v/>
      </c>
      <c r="BW154" s="391" t="str">
        <f>IF($O154="","",40)</f>
        <v/>
      </c>
      <c r="BX154" s="389" t="str">
        <f>IF($O154="","",$O154&amp;":1:"&amp;IF($L154="A","Back","Ahead"))</f>
        <v/>
      </c>
      <c r="BY154" s="554" t="str">
        <f>IF($O154="","","% Wire Ice")</f>
        <v/>
      </c>
      <c r="BZ154" s="391" t="str">
        <f>IF($O154="","",70)</f>
        <v/>
      </c>
      <c r="CA154" s="389" t="str">
        <f>IF($P154="","",$P154&amp;":1:Back+Ahead")</f>
        <v>3:1:Back+Ahead</v>
      </c>
      <c r="CB154" s="554" t="str">
        <f>IF($P154="","","% Wire Ice")</f>
        <v>% Wire Ice</v>
      </c>
      <c r="CC154" s="391">
        <f>IF($P154="","",70)</f>
        <v>70</v>
      </c>
      <c r="CD154" s="389" t="str">
        <f>IF($P154="","",$P154+10&amp;":1:Ahead")</f>
        <v>13:1:Ahead</v>
      </c>
      <c r="CE154" s="554" t="str">
        <f>IF($P154="","","% Wire Ice")</f>
        <v>% Wire Ice</v>
      </c>
      <c r="CF154" s="391">
        <f>IF($P154="","",70)</f>
        <v>70</v>
      </c>
      <c r="CG154" s="389" t="str">
        <f>IF($Q154="","",$Q154&amp;":1:Back+Ahead")</f>
        <v>7:1:Back+Ahead</v>
      </c>
      <c r="CH154" s="554" t="str">
        <f>IF($Q154="","","% Wire Ice")</f>
        <v>% Wire Ice</v>
      </c>
      <c r="CI154" s="391">
        <f>IF($Q154="","",70)</f>
        <v>70</v>
      </c>
      <c r="CJ154" s="389" t="str">
        <f>IF($Q154="","",$Q154+10&amp;":1:Ahead")</f>
        <v>17:1:Ahead</v>
      </c>
      <c r="CK154" s="554" t="str">
        <f>IF($Q154="","","% Wire Ice")</f>
        <v>% Wire Ice</v>
      </c>
      <c r="CL154" s="391">
        <f>IF($Q154="","",70)</f>
        <v>70</v>
      </c>
      <c r="CM154" s="389" t="str">
        <f>IF($R154="","",$R154&amp;":1:Back+Ahead")</f>
        <v>8:1:Back+Ahead</v>
      </c>
      <c r="CN154" s="554" t="str">
        <f>IF($R154="","","% Wire Ice")</f>
        <v>% Wire Ice</v>
      </c>
      <c r="CO154" s="391">
        <f>IF($R154="","",70)</f>
        <v>70</v>
      </c>
      <c r="CP154" s="554" t="str">
        <f>IF($R154="","",$R154+10&amp;":1:Ahead")</f>
        <v>18:1:Ahead</v>
      </c>
      <c r="CQ154" s="554" t="str">
        <f>IF($R154="","","% Wire Ice")</f>
        <v>% Wire Ice</v>
      </c>
      <c r="CR154" s="554">
        <f>IF($R154="","",70)</f>
        <v>70</v>
      </c>
      <c r="CS154" s="554" t="str">
        <f>IF($S154="","",$S154&amp;":1:Back+Ahead")</f>
        <v/>
      </c>
      <c r="CT154" s="554" t="str">
        <f>IF($S154="","","% Wire Ice")</f>
        <v/>
      </c>
      <c r="CU154" s="554" t="str">
        <f>IF($S154="","",70)</f>
        <v/>
      </c>
      <c r="CV154" s="554" t="str">
        <f>IF($S154="","",$S154+10&amp;":1:Ahead")</f>
        <v/>
      </c>
      <c r="CW154" s="554" t="str">
        <f>IF($S154="","","% Wire Ice")</f>
        <v/>
      </c>
      <c r="CX154" s="554" t="str">
        <f>IF($S154="","",70)</f>
        <v/>
      </c>
      <c r="CY154" s="554" t="str">
        <f>IF($T154="","",$T154&amp;":1:Back+Ahead")</f>
        <v/>
      </c>
      <c r="CZ154" s="554" t="str">
        <f>IF($T154="","","% Wire Ice")</f>
        <v/>
      </c>
      <c r="DA154" s="554" t="str">
        <f>IF($T154="","",70)</f>
        <v/>
      </c>
      <c r="DB154" s="554" t="str">
        <f>IF($T154="","",$T154+10&amp;":1:Ahead")</f>
        <v/>
      </c>
      <c r="DC154" s="554" t="str">
        <f>IF($T154="","","% Wire Ice")</f>
        <v/>
      </c>
      <c r="DD154" s="554" t="str">
        <f>IF($T154="","",70)</f>
        <v/>
      </c>
      <c r="DE154" s="534"/>
      <c r="DF154" s="534"/>
      <c r="DG154" s="534"/>
    </row>
    <row r="155" spans="1:111" ht="15" hidden="1" x14ac:dyDescent="0.25">
      <c r="A155" s="549">
        <f>IFERROR(IF(INDEX('Weather Cases'!$E$10:$E$94,MATCH('Load Criteria'!X155,'Weather Cases'!$H$10:$H$94,0),1)=1,1,"-"),"-")</f>
        <v>1</v>
      </c>
      <c r="B155" s="555" t="s">
        <v>558</v>
      </c>
      <c r="C155" s="555" t="s">
        <v>570</v>
      </c>
      <c r="D155" s="555" t="s">
        <v>567</v>
      </c>
      <c r="E155" s="556" t="s">
        <v>22</v>
      </c>
      <c r="F155" s="556" t="s">
        <v>22</v>
      </c>
      <c r="G155" s="556" t="str">
        <f>IFERROR(IF(MID('Load Criteria'!X155,FIND("_",'Load Criteria'!X155,1)+1,1)=LEFT(Control!$D$23,1),"YES","-"),"-")</f>
        <v>-</v>
      </c>
      <c r="H155" s="549" t="str">
        <f>IF(INDEX('Weather Cases'!$G$10:$G$94,MATCH('Load Criteria'!X155,'Weather Cases'!$H$10:$H$94,0),1)="H","YES","")</f>
        <v>YES</v>
      </c>
      <c r="I155" s="557" t="s">
        <v>316</v>
      </c>
      <c r="J155" s="550">
        <v>50</v>
      </c>
      <c r="K155" s="508" t="s">
        <v>571</v>
      </c>
      <c r="L155" s="508" t="s">
        <v>40</v>
      </c>
      <c r="M155" s="508">
        <v>1</v>
      </c>
      <c r="N155" s="508">
        <v>2</v>
      </c>
      <c r="O155" s="508"/>
      <c r="P155" s="395">
        <v>3</v>
      </c>
      <c r="Q155" s="395">
        <v>7</v>
      </c>
      <c r="R155" s="395">
        <v>8</v>
      </c>
      <c r="S155" s="395"/>
      <c r="T155" s="395"/>
      <c r="U155" s="255" t="s">
        <v>568</v>
      </c>
      <c r="V155" s="551" t="s">
        <v>300</v>
      </c>
      <c r="W155" s="542" t="str">
        <f t="shared" si="51"/>
        <v>ES0050_8+TB12 NA+</v>
      </c>
      <c r="X155" s="552" t="str">
        <f>I155&amp;TEXT(J155,"0000")&amp;"_"&amp;LEFT(Control!$D$22,LEN(Control!$D$22)-2)</f>
        <v>ES0050_8</v>
      </c>
      <c r="Y155" s="552" t="s">
        <v>433</v>
      </c>
      <c r="Z155" s="552" t="str">
        <f t="shared" si="49"/>
        <v>NA+</v>
      </c>
      <c r="AA155" s="552"/>
      <c r="AB155" s="552">
        <v>1</v>
      </c>
      <c r="AC155" s="552">
        <v>1</v>
      </c>
      <c r="AD155" s="552">
        <v>1</v>
      </c>
      <c r="AE155" s="552">
        <v>1</v>
      </c>
      <c r="AF155" s="552">
        <v>1</v>
      </c>
      <c r="AG155" s="542" t="s">
        <v>561</v>
      </c>
      <c r="AH155" s="552">
        <v>0</v>
      </c>
      <c r="AI155" s="552">
        <v>0</v>
      </c>
      <c r="AJ155" s="552">
        <v>1</v>
      </c>
      <c r="AK155" s="552">
        <v>1</v>
      </c>
      <c r="AL155" s="552">
        <v>1</v>
      </c>
      <c r="AM155" s="552">
        <v>0</v>
      </c>
      <c r="AN155" s="552">
        <v>0</v>
      </c>
      <c r="AO155" s="552">
        <v>1</v>
      </c>
      <c r="AP155" s="552">
        <v>1</v>
      </c>
      <c r="AQ155" s="552">
        <v>1</v>
      </c>
      <c r="AR155" s="552">
        <v>1</v>
      </c>
      <c r="AS155" s="552">
        <v>1</v>
      </c>
      <c r="AT155" s="552">
        <v>1</v>
      </c>
      <c r="AU155" s="552"/>
      <c r="AV155" s="553" t="str">
        <f>IF(H155="YES","'"&amp;INDEX('Structure Groups'!$C$12:$C$14,MATCH('Load Criteria'!$B$5,'Structure Groups'!$B$12:$B$14,0),1)&amp;"'","'All'")</f>
        <v>'GL Max 800m'</v>
      </c>
      <c r="AW155" s="552" t="s">
        <v>562</v>
      </c>
      <c r="AX155" s="552"/>
      <c r="AY155" s="552" t="str">
        <f t="shared" si="50"/>
        <v>Yes</v>
      </c>
      <c r="AZ155" s="389" t="str">
        <f t="shared" ref="AZ155:AZ161" si="56">$M155&amp;":1:"&amp;IF($L155="A","Ahead","Back")</f>
        <v>1:1:Back</v>
      </c>
      <c r="BA155" s="554" t="s">
        <v>572</v>
      </c>
      <c r="BB155" s="391">
        <v>40</v>
      </c>
      <c r="BC155" s="579" t="str">
        <f>$M155+10&amp;":1:"&amp;"Ahead"</f>
        <v>11:1:Ahead</v>
      </c>
      <c r="BD155" s="554" t="s">
        <v>572</v>
      </c>
      <c r="BE155" s="580">
        <f>IF($L155="A",40,70)</f>
        <v>70</v>
      </c>
      <c r="BF155" s="389" t="str">
        <f t="shared" ref="BF155:BF161" si="57">$M155&amp;":1:"&amp;IF($L155="A","Back","Ahead")</f>
        <v>1:1:Ahead</v>
      </c>
      <c r="BG155" s="554" t="str">
        <f t="shared" ref="BG155:BG161" si="58">IF(BF155="","","% Wire Ice")</f>
        <v>% Wire Ice</v>
      </c>
      <c r="BH155" s="391">
        <v>70</v>
      </c>
      <c r="BI155" s="389" t="str">
        <f t="shared" ref="BI155:BI161" si="59">$N155&amp;":1:"&amp;IF($L155="A","Ahead","Back")</f>
        <v>2:1:Back</v>
      </c>
      <c r="BJ155" s="554" t="s">
        <v>572</v>
      </c>
      <c r="BK155" s="391">
        <v>40</v>
      </c>
      <c r="BL155" s="579" t="str">
        <f>$N155+10&amp;":1:"&amp;"Ahead"</f>
        <v>12:1:Ahead</v>
      </c>
      <c r="BM155" s="554" t="s">
        <v>572</v>
      </c>
      <c r="BN155" s="580">
        <f>IF($L155="A",40,70)</f>
        <v>70</v>
      </c>
      <c r="BO155" s="389" t="str">
        <f t="shared" ref="BO155:BO161" si="60">$N155&amp;":1:"&amp;IF($L155="A","Back","Ahead")</f>
        <v>2:1:Ahead</v>
      </c>
      <c r="BP155" s="554" t="str">
        <f t="shared" ref="BP155:BP161" si="61">IF(BO155="","","% Wire Ice")</f>
        <v>% Wire Ice</v>
      </c>
      <c r="BQ155" s="391">
        <v>70</v>
      </c>
      <c r="BR155" s="389" t="str">
        <f t="shared" ref="BR155:BR161" si="62">IF($O155="","",$O155&amp;":1:"&amp;IF($L155="A","Ahead","Back"))</f>
        <v/>
      </c>
      <c r="BS155" s="554" t="str">
        <f t="shared" ref="BS155:BS161" si="63">IF($O155="","","% Wire Ice")</f>
        <v/>
      </c>
      <c r="BT155" s="391" t="str">
        <f t="shared" ref="BT155:BT161" si="64">IF($O155="","",40)</f>
        <v/>
      </c>
      <c r="BU155" s="389" t="str">
        <f t="shared" ref="BU155:BU157" si="65">IF($O155="","",$O155+10&amp;":1:"&amp;IF($L155="A","Ahead","Back"))</f>
        <v/>
      </c>
      <c r="BV155" s="554" t="str">
        <f t="shared" ref="BV155:BV161" si="66">IF($O155="","","% Wire Ice")</f>
        <v/>
      </c>
      <c r="BW155" s="391" t="str">
        <f t="shared" ref="BW155:BW157" si="67">IF($O155="","",40)</f>
        <v/>
      </c>
      <c r="BX155" s="389" t="str">
        <f t="shared" ref="BX155:BX161" si="68">IF($O155="","",$O155&amp;":1:"&amp;IF($L155="A","Back","Ahead"))</f>
        <v/>
      </c>
      <c r="BY155" s="554" t="str">
        <f t="shared" ref="BY155:BY161" si="69">IF($O155="","","% Wire Ice")</f>
        <v/>
      </c>
      <c r="BZ155" s="391" t="str">
        <f t="shared" ref="BZ155:BZ161" si="70">IF($O155="","",70)</f>
        <v/>
      </c>
      <c r="CA155" s="389" t="str">
        <f t="shared" ref="CA155:CA161" si="71">IF($P155="","",$P155&amp;":1:Back+Ahead")</f>
        <v>3:1:Back+Ahead</v>
      </c>
      <c r="CB155" s="554" t="str">
        <f t="shared" ref="CB155:CB161" si="72">IF($P155="","","% Wire Ice")</f>
        <v>% Wire Ice</v>
      </c>
      <c r="CC155" s="391">
        <f t="shared" ref="CC155:CC161" si="73">IF($P155="","",70)</f>
        <v>70</v>
      </c>
      <c r="CD155" s="389" t="str">
        <f t="shared" ref="CD155:CD161" si="74">IF($P155="","",$P155+10&amp;":1:Ahead")</f>
        <v>13:1:Ahead</v>
      </c>
      <c r="CE155" s="554" t="str">
        <f t="shared" ref="CE155:CE161" si="75">IF($P155="","","% Wire Ice")</f>
        <v>% Wire Ice</v>
      </c>
      <c r="CF155" s="391">
        <f t="shared" ref="CF155:CF161" si="76">IF($P155="","",70)</f>
        <v>70</v>
      </c>
      <c r="CG155" s="389" t="str">
        <f t="shared" ref="CG155:CG161" si="77">IF($Q155="","",$Q155&amp;":1:Back+Ahead")</f>
        <v>7:1:Back+Ahead</v>
      </c>
      <c r="CH155" s="554" t="str">
        <f t="shared" ref="CH155:CH161" si="78">IF($Q155="","","% Wire Ice")</f>
        <v>% Wire Ice</v>
      </c>
      <c r="CI155" s="391">
        <f t="shared" ref="CI155:CI161" si="79">IF($Q155="","",70)</f>
        <v>70</v>
      </c>
      <c r="CJ155" s="389" t="str">
        <f t="shared" ref="CJ155:CJ161" si="80">IF($Q155="","",$Q155+10&amp;":1:Ahead")</f>
        <v>17:1:Ahead</v>
      </c>
      <c r="CK155" s="554" t="str">
        <f t="shared" ref="CK155:CK161" si="81">IF($Q155="","","% Wire Ice")</f>
        <v>% Wire Ice</v>
      </c>
      <c r="CL155" s="391">
        <f t="shared" ref="CL155:CL161" si="82">IF($Q155="","",70)</f>
        <v>70</v>
      </c>
      <c r="CM155" s="389" t="str">
        <f t="shared" ref="CM155:CM161" si="83">IF($R155="","",$R155&amp;":1:Back+Ahead")</f>
        <v>8:1:Back+Ahead</v>
      </c>
      <c r="CN155" s="554" t="str">
        <f t="shared" ref="CN155:CN161" si="84">IF($R155="","","% Wire Ice")</f>
        <v>% Wire Ice</v>
      </c>
      <c r="CO155" s="391">
        <f t="shared" ref="CO155:CO161" si="85">IF($R155="","",70)</f>
        <v>70</v>
      </c>
      <c r="CP155" s="554" t="str">
        <f t="shared" ref="CP155:CP161" si="86">IF($R155="","",$R155+10&amp;":1:Ahead")</f>
        <v>18:1:Ahead</v>
      </c>
      <c r="CQ155" s="554" t="str">
        <f t="shared" ref="CQ155:CQ161" si="87">IF($R155="","","% Wire Ice")</f>
        <v>% Wire Ice</v>
      </c>
      <c r="CR155" s="554">
        <f t="shared" ref="CR155:CR161" si="88">IF($R155="","",70)</f>
        <v>70</v>
      </c>
      <c r="CS155" s="554" t="str">
        <f t="shared" ref="CS155:CS161" si="89">IF($S155="","",$S155&amp;":1:Back+Ahead")</f>
        <v/>
      </c>
      <c r="CT155" s="554" t="str">
        <f t="shared" ref="CT155:CT161" si="90">IF($S155="","","% Wire Ice")</f>
        <v/>
      </c>
      <c r="CU155" s="554" t="str">
        <f t="shared" ref="CU155:CU161" si="91">IF($S155="","",70)</f>
        <v/>
      </c>
      <c r="CV155" s="554" t="str">
        <f t="shared" ref="CV155:CV161" si="92">IF($S155="","",$S155+10&amp;":1:Ahead")</f>
        <v/>
      </c>
      <c r="CW155" s="554" t="str">
        <f t="shared" ref="CW155:CW161" si="93">IF($S155="","","% Wire Ice")</f>
        <v/>
      </c>
      <c r="CX155" s="554" t="str">
        <f t="shared" ref="CX155:CX161" si="94">IF($S155="","",70)</f>
        <v/>
      </c>
      <c r="CY155" s="554" t="str">
        <f t="shared" ref="CY155:CY161" si="95">IF($T155="","",$T155&amp;":1:Back+Ahead")</f>
        <v/>
      </c>
      <c r="CZ155" s="554" t="str">
        <f t="shared" ref="CZ155:CZ161" si="96">IF($T155="","","% Wire Ice")</f>
        <v/>
      </c>
      <c r="DA155" s="554" t="str">
        <f t="shared" ref="DA155:DA161" si="97">IF($T155="","",70)</f>
        <v/>
      </c>
      <c r="DB155" s="554" t="str">
        <f t="shared" ref="DB155:DB161" si="98">IF($T155="","",$T155+10&amp;":1:Ahead")</f>
        <v/>
      </c>
      <c r="DC155" s="554" t="str">
        <f t="shared" ref="DC155:DC161" si="99">IF($T155="","","% Wire Ice")</f>
        <v/>
      </c>
      <c r="DD155" s="554" t="str">
        <f t="shared" ref="DD155:DD161" si="100">IF($T155="","",70)</f>
        <v/>
      </c>
      <c r="DE155" s="534"/>
      <c r="DF155" s="534"/>
      <c r="DG155" s="534"/>
    </row>
    <row r="156" spans="1:111" ht="15" hidden="1" x14ac:dyDescent="0.25">
      <c r="A156" s="549">
        <f>IFERROR(IF(INDEX('Weather Cases'!$E$10:$E$94,MATCH('Load Criteria'!X156,'Weather Cases'!$H$10:$H$94,0),1)=1,1,"-"),"-")</f>
        <v>1</v>
      </c>
      <c r="B156" s="555" t="s">
        <v>558</v>
      </c>
      <c r="C156" s="555" t="s">
        <v>570</v>
      </c>
      <c r="D156" s="555" t="s">
        <v>567</v>
      </c>
      <c r="E156" s="556" t="s">
        <v>22</v>
      </c>
      <c r="F156" s="556" t="s">
        <v>22</v>
      </c>
      <c r="G156" s="556" t="str">
        <f>IFERROR(IF(MID('Load Criteria'!X156,FIND("_",'Load Criteria'!X156,1)+1,1)=LEFT(Control!$D$23,1),"YES","-"),"-")</f>
        <v>-</v>
      </c>
      <c r="H156" s="549" t="str">
        <f>IF(INDEX('Weather Cases'!$G$10:$G$94,MATCH('Load Criteria'!X156,'Weather Cases'!$H$10:$H$94,0),1)="H","YES","")</f>
        <v>YES</v>
      </c>
      <c r="I156" s="557" t="s">
        <v>316</v>
      </c>
      <c r="J156" s="550">
        <v>50</v>
      </c>
      <c r="K156" s="508" t="s">
        <v>571</v>
      </c>
      <c r="L156" s="508" t="s">
        <v>24</v>
      </c>
      <c r="M156" s="508">
        <v>2</v>
      </c>
      <c r="N156" s="508">
        <v>3</v>
      </c>
      <c r="O156" s="508"/>
      <c r="P156" s="395">
        <v>1</v>
      </c>
      <c r="Q156" s="395">
        <v>7</v>
      </c>
      <c r="R156" s="395">
        <v>8</v>
      </c>
      <c r="S156" s="395"/>
      <c r="T156" s="395"/>
      <c r="U156" s="255" t="s">
        <v>568</v>
      </c>
      <c r="V156" s="551" t="s">
        <v>300</v>
      </c>
      <c r="W156" s="542" t="str">
        <f t="shared" si="51"/>
        <v>ES0050_8+TA23 NA+</v>
      </c>
      <c r="X156" s="552" t="str">
        <f>I156&amp;TEXT(J156,"0000")&amp;"_"&amp;LEFT(Control!$D$22,LEN(Control!$D$22)-2)</f>
        <v>ES0050_8</v>
      </c>
      <c r="Y156" s="552" t="s">
        <v>433</v>
      </c>
      <c r="Z156" s="552" t="str">
        <f t="shared" si="49"/>
        <v>NA+</v>
      </c>
      <c r="AA156" s="552"/>
      <c r="AB156" s="552">
        <v>1</v>
      </c>
      <c r="AC156" s="552">
        <v>1</v>
      </c>
      <c r="AD156" s="552">
        <v>1</v>
      </c>
      <c r="AE156" s="552">
        <v>1</v>
      </c>
      <c r="AF156" s="552">
        <v>1</v>
      </c>
      <c r="AG156" s="542" t="s">
        <v>561</v>
      </c>
      <c r="AH156" s="552">
        <v>0</v>
      </c>
      <c r="AI156" s="552">
        <v>0</v>
      </c>
      <c r="AJ156" s="552">
        <v>1</v>
      </c>
      <c r="AK156" s="552">
        <v>1</v>
      </c>
      <c r="AL156" s="552">
        <v>1</v>
      </c>
      <c r="AM156" s="552">
        <v>0</v>
      </c>
      <c r="AN156" s="552">
        <v>0</v>
      </c>
      <c r="AO156" s="552">
        <v>1</v>
      </c>
      <c r="AP156" s="552">
        <v>1</v>
      </c>
      <c r="AQ156" s="552">
        <v>1</v>
      </c>
      <c r="AR156" s="552">
        <v>1</v>
      </c>
      <c r="AS156" s="552">
        <v>1</v>
      </c>
      <c r="AT156" s="552">
        <v>1</v>
      </c>
      <c r="AU156" s="552"/>
      <c r="AV156" s="553" t="str">
        <f>IF(H156="YES","'"&amp;INDEX('Structure Groups'!$C$12:$C$14,MATCH('Load Criteria'!$B$5,'Structure Groups'!$B$12:$B$14,0),1)&amp;"'","'All'")</f>
        <v>'GL Max 800m'</v>
      </c>
      <c r="AW156" s="552" t="s">
        <v>562</v>
      </c>
      <c r="AX156" s="552"/>
      <c r="AY156" s="552" t="str">
        <f t="shared" si="50"/>
        <v>Yes</v>
      </c>
      <c r="AZ156" s="389" t="str">
        <f t="shared" si="56"/>
        <v>2:1:Ahead</v>
      </c>
      <c r="BA156" s="554" t="s">
        <v>572</v>
      </c>
      <c r="BB156" s="391">
        <v>40</v>
      </c>
      <c r="BC156" s="579" t="str">
        <f t="shared" ref="BC156:BC157" si="101">$M156+10&amp;":1:"&amp;"Ahead"</f>
        <v>12:1:Ahead</v>
      </c>
      <c r="BD156" s="554" t="s">
        <v>572</v>
      </c>
      <c r="BE156" s="580">
        <f t="shared" ref="BE156:BE161" si="102">IF($L156="A",40,70)</f>
        <v>40</v>
      </c>
      <c r="BF156" s="389" t="str">
        <f t="shared" si="57"/>
        <v>2:1:Back</v>
      </c>
      <c r="BG156" s="554" t="str">
        <f t="shared" si="58"/>
        <v>% Wire Ice</v>
      </c>
      <c r="BH156" s="391">
        <v>70</v>
      </c>
      <c r="BI156" s="389" t="str">
        <f t="shared" si="59"/>
        <v>3:1:Ahead</v>
      </c>
      <c r="BJ156" s="554" t="s">
        <v>572</v>
      </c>
      <c r="BK156" s="391">
        <v>40</v>
      </c>
      <c r="BL156" s="579" t="str">
        <f t="shared" ref="BL156:BL157" si="103">$N156+10&amp;":1:"&amp;"Ahead"</f>
        <v>13:1:Ahead</v>
      </c>
      <c r="BM156" s="554" t="s">
        <v>572</v>
      </c>
      <c r="BN156" s="580">
        <f t="shared" ref="BN156:BN161" si="104">IF($L156="A",40,70)</f>
        <v>40</v>
      </c>
      <c r="BO156" s="389" t="str">
        <f t="shared" si="60"/>
        <v>3:1:Back</v>
      </c>
      <c r="BP156" s="554" t="str">
        <f t="shared" si="61"/>
        <v>% Wire Ice</v>
      </c>
      <c r="BQ156" s="391">
        <v>70</v>
      </c>
      <c r="BR156" s="389" t="str">
        <f t="shared" si="62"/>
        <v/>
      </c>
      <c r="BS156" s="554" t="str">
        <f t="shared" si="63"/>
        <v/>
      </c>
      <c r="BT156" s="391" t="str">
        <f t="shared" si="64"/>
        <v/>
      </c>
      <c r="BU156" s="389" t="str">
        <f t="shared" si="65"/>
        <v/>
      </c>
      <c r="BV156" s="554" t="str">
        <f t="shared" si="66"/>
        <v/>
      </c>
      <c r="BW156" s="391" t="str">
        <f t="shared" si="67"/>
        <v/>
      </c>
      <c r="BX156" s="389" t="str">
        <f t="shared" si="68"/>
        <v/>
      </c>
      <c r="BY156" s="554" t="str">
        <f t="shared" si="69"/>
        <v/>
      </c>
      <c r="BZ156" s="391" t="str">
        <f t="shared" si="70"/>
        <v/>
      </c>
      <c r="CA156" s="389" t="str">
        <f t="shared" si="71"/>
        <v>1:1:Back+Ahead</v>
      </c>
      <c r="CB156" s="554" t="str">
        <f t="shared" si="72"/>
        <v>% Wire Ice</v>
      </c>
      <c r="CC156" s="391">
        <f t="shared" si="73"/>
        <v>70</v>
      </c>
      <c r="CD156" s="389" t="str">
        <f t="shared" si="74"/>
        <v>11:1:Ahead</v>
      </c>
      <c r="CE156" s="554" t="str">
        <f t="shared" si="75"/>
        <v>% Wire Ice</v>
      </c>
      <c r="CF156" s="391">
        <f t="shared" si="76"/>
        <v>70</v>
      </c>
      <c r="CG156" s="389" t="str">
        <f t="shared" si="77"/>
        <v>7:1:Back+Ahead</v>
      </c>
      <c r="CH156" s="554" t="str">
        <f t="shared" si="78"/>
        <v>% Wire Ice</v>
      </c>
      <c r="CI156" s="391">
        <f t="shared" si="79"/>
        <v>70</v>
      </c>
      <c r="CJ156" s="389" t="str">
        <f t="shared" si="80"/>
        <v>17:1:Ahead</v>
      </c>
      <c r="CK156" s="554" t="str">
        <f t="shared" si="81"/>
        <v>% Wire Ice</v>
      </c>
      <c r="CL156" s="391">
        <f t="shared" si="82"/>
        <v>70</v>
      </c>
      <c r="CM156" s="389" t="str">
        <f t="shared" si="83"/>
        <v>8:1:Back+Ahead</v>
      </c>
      <c r="CN156" s="554" t="str">
        <f t="shared" si="84"/>
        <v>% Wire Ice</v>
      </c>
      <c r="CO156" s="391">
        <f t="shared" si="85"/>
        <v>70</v>
      </c>
      <c r="CP156" s="554" t="str">
        <f t="shared" si="86"/>
        <v>18:1:Ahead</v>
      </c>
      <c r="CQ156" s="554" t="str">
        <f t="shared" si="87"/>
        <v>% Wire Ice</v>
      </c>
      <c r="CR156" s="554">
        <f t="shared" si="88"/>
        <v>70</v>
      </c>
      <c r="CS156" s="554" t="str">
        <f t="shared" si="89"/>
        <v/>
      </c>
      <c r="CT156" s="554" t="str">
        <f t="shared" si="90"/>
        <v/>
      </c>
      <c r="CU156" s="554" t="str">
        <f t="shared" si="91"/>
        <v/>
      </c>
      <c r="CV156" s="554" t="str">
        <f t="shared" si="92"/>
        <v/>
      </c>
      <c r="CW156" s="554" t="str">
        <f t="shared" si="93"/>
        <v/>
      </c>
      <c r="CX156" s="554" t="str">
        <f t="shared" si="94"/>
        <v/>
      </c>
      <c r="CY156" s="554" t="str">
        <f t="shared" si="95"/>
        <v/>
      </c>
      <c r="CZ156" s="554" t="str">
        <f t="shared" si="96"/>
        <v/>
      </c>
      <c r="DA156" s="554" t="str">
        <f t="shared" si="97"/>
        <v/>
      </c>
      <c r="DB156" s="554" t="str">
        <f t="shared" si="98"/>
        <v/>
      </c>
      <c r="DC156" s="554" t="str">
        <f t="shared" si="99"/>
        <v/>
      </c>
      <c r="DD156" s="554" t="str">
        <f t="shared" si="100"/>
        <v/>
      </c>
      <c r="DE156" s="534"/>
      <c r="DF156" s="534"/>
      <c r="DG156" s="534"/>
    </row>
    <row r="157" spans="1:111" ht="15" hidden="1" x14ac:dyDescent="0.25">
      <c r="A157" s="549">
        <f>IFERROR(IF(INDEX('Weather Cases'!$E$10:$E$94,MATCH('Load Criteria'!X157,'Weather Cases'!$H$10:$H$94,0),1)=1,1,"-"),"-")</f>
        <v>1</v>
      </c>
      <c r="B157" s="555" t="s">
        <v>558</v>
      </c>
      <c r="C157" s="555" t="s">
        <v>570</v>
      </c>
      <c r="D157" s="555" t="s">
        <v>567</v>
      </c>
      <c r="E157" s="556" t="s">
        <v>22</v>
      </c>
      <c r="F157" s="556" t="s">
        <v>22</v>
      </c>
      <c r="G157" s="556" t="str">
        <f>IFERROR(IF(MID('Load Criteria'!X157,FIND("_",'Load Criteria'!X157,1)+1,1)=LEFT(Control!$D$23,1),"YES","-"),"-")</f>
        <v>-</v>
      </c>
      <c r="H157" s="549" t="str">
        <f>IF(INDEX('Weather Cases'!$G$10:$G$94,MATCH('Load Criteria'!X157,'Weather Cases'!$H$10:$H$94,0),1)="H","YES","")</f>
        <v>YES</v>
      </c>
      <c r="I157" s="557" t="s">
        <v>316</v>
      </c>
      <c r="J157" s="550">
        <v>50</v>
      </c>
      <c r="K157" s="508" t="s">
        <v>571</v>
      </c>
      <c r="L157" s="508" t="s">
        <v>40</v>
      </c>
      <c r="M157" s="508">
        <v>2</v>
      </c>
      <c r="N157" s="508">
        <v>3</v>
      </c>
      <c r="O157" s="508"/>
      <c r="P157" s="395">
        <v>1</v>
      </c>
      <c r="Q157" s="395">
        <v>7</v>
      </c>
      <c r="R157" s="395">
        <v>8</v>
      </c>
      <c r="S157" s="395"/>
      <c r="T157" s="395"/>
      <c r="U157" s="255" t="s">
        <v>568</v>
      </c>
      <c r="V157" s="551" t="s">
        <v>300</v>
      </c>
      <c r="W157" s="542" t="str">
        <f t="shared" si="51"/>
        <v>ES0050_8+TB23 NA+</v>
      </c>
      <c r="X157" s="552" t="str">
        <f>I157&amp;TEXT(J157,"0000")&amp;"_"&amp;LEFT(Control!$D$22,LEN(Control!$D$22)-2)</f>
        <v>ES0050_8</v>
      </c>
      <c r="Y157" s="552" t="s">
        <v>433</v>
      </c>
      <c r="Z157" s="552" t="str">
        <f t="shared" si="49"/>
        <v>NA+</v>
      </c>
      <c r="AA157" s="552"/>
      <c r="AB157" s="552">
        <v>1</v>
      </c>
      <c r="AC157" s="552">
        <v>1</v>
      </c>
      <c r="AD157" s="552">
        <v>1</v>
      </c>
      <c r="AE157" s="552">
        <v>1</v>
      </c>
      <c r="AF157" s="552">
        <v>1</v>
      </c>
      <c r="AG157" s="542" t="s">
        <v>561</v>
      </c>
      <c r="AH157" s="552">
        <v>0</v>
      </c>
      <c r="AI157" s="552">
        <v>0</v>
      </c>
      <c r="AJ157" s="552">
        <v>1</v>
      </c>
      <c r="AK157" s="552">
        <v>1</v>
      </c>
      <c r="AL157" s="552">
        <v>1</v>
      </c>
      <c r="AM157" s="552">
        <v>0</v>
      </c>
      <c r="AN157" s="552">
        <v>0</v>
      </c>
      <c r="AO157" s="552">
        <v>1</v>
      </c>
      <c r="AP157" s="552">
        <v>1</v>
      </c>
      <c r="AQ157" s="552">
        <v>1</v>
      </c>
      <c r="AR157" s="552">
        <v>1</v>
      </c>
      <c r="AS157" s="552">
        <v>1</v>
      </c>
      <c r="AT157" s="552">
        <v>1</v>
      </c>
      <c r="AU157" s="552"/>
      <c r="AV157" s="553" t="str">
        <f>IF(H157="YES","'"&amp;INDEX('Structure Groups'!$C$12:$C$14,MATCH('Load Criteria'!$B$5,'Structure Groups'!$B$12:$B$14,0),1)&amp;"'","'All'")</f>
        <v>'GL Max 800m'</v>
      </c>
      <c r="AW157" s="552" t="s">
        <v>562</v>
      </c>
      <c r="AX157" s="552"/>
      <c r="AY157" s="552" t="str">
        <f t="shared" si="50"/>
        <v>Yes</v>
      </c>
      <c r="AZ157" s="389" t="str">
        <f t="shared" si="56"/>
        <v>2:1:Back</v>
      </c>
      <c r="BA157" s="554" t="s">
        <v>572</v>
      </c>
      <c r="BB157" s="391">
        <v>40</v>
      </c>
      <c r="BC157" s="579" t="str">
        <f t="shared" si="101"/>
        <v>12:1:Ahead</v>
      </c>
      <c r="BD157" s="554" t="s">
        <v>572</v>
      </c>
      <c r="BE157" s="580">
        <f t="shared" si="102"/>
        <v>70</v>
      </c>
      <c r="BF157" s="389" t="str">
        <f t="shared" si="57"/>
        <v>2:1:Ahead</v>
      </c>
      <c r="BG157" s="554" t="str">
        <f t="shared" si="58"/>
        <v>% Wire Ice</v>
      </c>
      <c r="BH157" s="391">
        <v>70</v>
      </c>
      <c r="BI157" s="389" t="str">
        <f t="shared" si="59"/>
        <v>3:1:Back</v>
      </c>
      <c r="BJ157" s="554" t="s">
        <v>572</v>
      </c>
      <c r="BK157" s="391">
        <v>40</v>
      </c>
      <c r="BL157" s="579" t="str">
        <f t="shared" si="103"/>
        <v>13:1:Ahead</v>
      </c>
      <c r="BM157" s="554" t="s">
        <v>572</v>
      </c>
      <c r="BN157" s="580">
        <f t="shared" si="104"/>
        <v>70</v>
      </c>
      <c r="BO157" s="389" t="str">
        <f t="shared" si="60"/>
        <v>3:1:Ahead</v>
      </c>
      <c r="BP157" s="554" t="str">
        <f t="shared" si="61"/>
        <v>% Wire Ice</v>
      </c>
      <c r="BQ157" s="391">
        <v>70</v>
      </c>
      <c r="BR157" s="389" t="str">
        <f t="shared" si="62"/>
        <v/>
      </c>
      <c r="BS157" s="554" t="str">
        <f t="shared" si="63"/>
        <v/>
      </c>
      <c r="BT157" s="391" t="str">
        <f t="shared" si="64"/>
        <v/>
      </c>
      <c r="BU157" s="389" t="str">
        <f t="shared" si="65"/>
        <v/>
      </c>
      <c r="BV157" s="554" t="str">
        <f t="shared" si="66"/>
        <v/>
      </c>
      <c r="BW157" s="391" t="str">
        <f t="shared" si="67"/>
        <v/>
      </c>
      <c r="BX157" s="389" t="str">
        <f t="shared" si="68"/>
        <v/>
      </c>
      <c r="BY157" s="554" t="str">
        <f t="shared" si="69"/>
        <v/>
      </c>
      <c r="BZ157" s="391" t="str">
        <f t="shared" si="70"/>
        <v/>
      </c>
      <c r="CA157" s="389" t="str">
        <f t="shared" si="71"/>
        <v>1:1:Back+Ahead</v>
      </c>
      <c r="CB157" s="554" t="str">
        <f t="shared" si="72"/>
        <v>% Wire Ice</v>
      </c>
      <c r="CC157" s="391">
        <f t="shared" si="73"/>
        <v>70</v>
      </c>
      <c r="CD157" s="389" t="str">
        <f t="shared" si="74"/>
        <v>11:1:Ahead</v>
      </c>
      <c r="CE157" s="554" t="str">
        <f t="shared" si="75"/>
        <v>% Wire Ice</v>
      </c>
      <c r="CF157" s="391">
        <f t="shared" si="76"/>
        <v>70</v>
      </c>
      <c r="CG157" s="389" t="str">
        <f t="shared" si="77"/>
        <v>7:1:Back+Ahead</v>
      </c>
      <c r="CH157" s="554" t="str">
        <f t="shared" si="78"/>
        <v>% Wire Ice</v>
      </c>
      <c r="CI157" s="391">
        <f t="shared" si="79"/>
        <v>70</v>
      </c>
      <c r="CJ157" s="389" t="str">
        <f t="shared" si="80"/>
        <v>17:1:Ahead</v>
      </c>
      <c r="CK157" s="554" t="str">
        <f t="shared" si="81"/>
        <v>% Wire Ice</v>
      </c>
      <c r="CL157" s="391">
        <f t="shared" si="82"/>
        <v>70</v>
      </c>
      <c r="CM157" s="389" t="str">
        <f t="shared" si="83"/>
        <v>8:1:Back+Ahead</v>
      </c>
      <c r="CN157" s="554" t="str">
        <f t="shared" si="84"/>
        <v>% Wire Ice</v>
      </c>
      <c r="CO157" s="391">
        <f t="shared" si="85"/>
        <v>70</v>
      </c>
      <c r="CP157" s="554" t="str">
        <f t="shared" si="86"/>
        <v>18:1:Ahead</v>
      </c>
      <c r="CQ157" s="554" t="str">
        <f t="shared" si="87"/>
        <v>% Wire Ice</v>
      </c>
      <c r="CR157" s="554">
        <f t="shared" si="88"/>
        <v>70</v>
      </c>
      <c r="CS157" s="554" t="str">
        <f t="shared" si="89"/>
        <v/>
      </c>
      <c r="CT157" s="554" t="str">
        <f t="shared" si="90"/>
        <v/>
      </c>
      <c r="CU157" s="554" t="str">
        <f t="shared" si="91"/>
        <v/>
      </c>
      <c r="CV157" s="554" t="str">
        <f t="shared" si="92"/>
        <v/>
      </c>
      <c r="CW157" s="554" t="str">
        <f t="shared" si="93"/>
        <v/>
      </c>
      <c r="CX157" s="554" t="str">
        <f t="shared" si="94"/>
        <v/>
      </c>
      <c r="CY157" s="554" t="str">
        <f t="shared" si="95"/>
        <v/>
      </c>
      <c r="CZ157" s="554" t="str">
        <f t="shared" si="96"/>
        <v/>
      </c>
      <c r="DA157" s="554" t="str">
        <f t="shared" si="97"/>
        <v/>
      </c>
      <c r="DB157" s="554" t="str">
        <f t="shared" si="98"/>
        <v/>
      </c>
      <c r="DC157" s="554" t="str">
        <f t="shared" si="99"/>
        <v/>
      </c>
      <c r="DD157" s="554" t="str">
        <f t="shared" si="100"/>
        <v/>
      </c>
      <c r="DE157" s="534"/>
      <c r="DF157" s="534"/>
      <c r="DG157" s="534"/>
    </row>
    <row r="158" spans="1:111" ht="15" x14ac:dyDescent="0.25">
      <c r="A158" s="549">
        <f>IFERROR(IF(INDEX('Weather Cases'!$E$10:$E$94,MATCH('Load Criteria'!X158,'Weather Cases'!$H$10:$H$94,0),1)=1,1,"-"),"-")</f>
        <v>1</v>
      </c>
      <c r="B158" s="555" t="s">
        <v>558</v>
      </c>
      <c r="C158" s="555" t="s">
        <v>573</v>
      </c>
      <c r="D158" s="555" t="s">
        <v>567</v>
      </c>
      <c r="E158" s="556" t="s">
        <v>22</v>
      </c>
      <c r="F158" s="556" t="s">
        <v>22</v>
      </c>
      <c r="G158" s="556" t="str">
        <f>IFERROR(IF(MID('Load Criteria'!X158,FIND("_",'Load Criteria'!X158,1)+1,1)=LEFT(Control!$D$23,1),"YES","-"),"-")</f>
        <v>-</v>
      </c>
      <c r="H158" s="549" t="str">
        <f>IF(INDEX('Weather Cases'!$G$10:$G$94,MATCH('Load Criteria'!X158,'Weather Cases'!$H$10:$H$94,0),1)="H","YES","")</f>
        <v>YES</v>
      </c>
      <c r="I158" s="557" t="s">
        <v>316</v>
      </c>
      <c r="J158" s="550">
        <v>50</v>
      </c>
      <c r="K158" s="508" t="s">
        <v>571</v>
      </c>
      <c r="L158" s="508" t="s">
        <v>24</v>
      </c>
      <c r="M158" s="508">
        <v>1</v>
      </c>
      <c r="N158" s="508">
        <v>2</v>
      </c>
      <c r="O158" s="508">
        <v>3</v>
      </c>
      <c r="P158" s="395">
        <v>4</v>
      </c>
      <c r="Q158" s="395">
        <v>5</v>
      </c>
      <c r="R158" s="395">
        <v>6</v>
      </c>
      <c r="S158" s="395">
        <v>7</v>
      </c>
      <c r="T158" s="395">
        <v>8</v>
      </c>
      <c r="U158" s="255" t="s">
        <v>568</v>
      </c>
      <c r="V158" s="551" t="s">
        <v>300</v>
      </c>
      <c r="W158" s="542" t="str">
        <f t="shared" si="51"/>
        <v>ES0050_8+TA123 NA+</v>
      </c>
      <c r="X158" s="552" t="str">
        <f>I158&amp;TEXT(J158,"0000")&amp;"_"&amp;LEFT(Control!$D$22,LEN(Control!$D$22)-2)</f>
        <v>ES0050_8</v>
      </c>
      <c r="Y158" s="552" t="s">
        <v>433</v>
      </c>
      <c r="Z158" s="552" t="str">
        <f t="shared" si="49"/>
        <v>NA+</v>
      </c>
      <c r="AA158" s="552"/>
      <c r="AB158" s="552">
        <v>1</v>
      </c>
      <c r="AC158" s="552">
        <v>1</v>
      </c>
      <c r="AD158" s="552">
        <v>1</v>
      </c>
      <c r="AE158" s="552">
        <v>1</v>
      </c>
      <c r="AF158" s="552">
        <v>1</v>
      </c>
      <c r="AG158" s="542" t="s">
        <v>561</v>
      </c>
      <c r="AH158" s="552">
        <v>0</v>
      </c>
      <c r="AI158" s="552">
        <v>0</v>
      </c>
      <c r="AJ158" s="552">
        <v>1</v>
      </c>
      <c r="AK158" s="552">
        <v>1</v>
      </c>
      <c r="AL158" s="552">
        <v>1</v>
      </c>
      <c r="AM158" s="552">
        <v>0</v>
      </c>
      <c r="AN158" s="552">
        <v>0</v>
      </c>
      <c r="AO158" s="552">
        <v>1</v>
      </c>
      <c r="AP158" s="552">
        <v>1</v>
      </c>
      <c r="AQ158" s="552">
        <v>1</v>
      </c>
      <c r="AR158" s="552">
        <v>1</v>
      </c>
      <c r="AS158" s="552">
        <v>1</v>
      </c>
      <c r="AT158" s="552">
        <v>1</v>
      </c>
      <c r="AU158" s="552">
        <v>1</v>
      </c>
      <c r="AV158" s="553" t="str">
        <f>IF(H158="YES","'"&amp;INDEX('Structure Groups'!$C$12:$C$14,MATCH('Load Criteria'!$B$5,'Structure Groups'!$B$12:$B$14,0),1)&amp;"'","'All'")</f>
        <v>'GL Max 800m'</v>
      </c>
      <c r="AW158" s="552" t="s">
        <v>562</v>
      </c>
      <c r="AX158" s="552"/>
      <c r="AY158" s="552" t="str">
        <f t="shared" si="50"/>
        <v>Yes</v>
      </c>
      <c r="AZ158" s="389" t="str">
        <f t="shared" si="56"/>
        <v>1:1:Ahead</v>
      </c>
      <c r="BA158" s="554" t="s">
        <v>572</v>
      </c>
      <c r="BB158" s="391">
        <v>40</v>
      </c>
      <c r="BC158" s="579" t="str">
        <f t="shared" si="52"/>
        <v>11:1:Ahead</v>
      </c>
      <c r="BD158" s="554" t="s">
        <v>572</v>
      </c>
      <c r="BE158" s="580">
        <f t="shared" si="102"/>
        <v>40</v>
      </c>
      <c r="BF158" s="389" t="str">
        <f t="shared" si="57"/>
        <v>1:1:Back</v>
      </c>
      <c r="BG158" s="554" t="str">
        <f t="shared" si="58"/>
        <v>% Wire Ice</v>
      </c>
      <c r="BH158" s="391">
        <v>70</v>
      </c>
      <c r="BI158" s="389" t="str">
        <f t="shared" si="59"/>
        <v>2:1:Ahead</v>
      </c>
      <c r="BJ158" s="554" t="s">
        <v>572</v>
      </c>
      <c r="BK158" s="391">
        <v>40</v>
      </c>
      <c r="BL158" s="579" t="str">
        <f>$N158+10&amp;":1:"&amp;"Ahead"</f>
        <v>12:1:Ahead</v>
      </c>
      <c r="BM158" s="554" t="s">
        <v>572</v>
      </c>
      <c r="BN158" s="580">
        <f t="shared" si="104"/>
        <v>40</v>
      </c>
      <c r="BO158" s="389" t="str">
        <f t="shared" si="60"/>
        <v>2:1:Back</v>
      </c>
      <c r="BP158" s="554" t="str">
        <f t="shared" si="61"/>
        <v>% Wire Ice</v>
      </c>
      <c r="BQ158" s="391">
        <v>70</v>
      </c>
      <c r="BR158" s="389" t="str">
        <f t="shared" si="62"/>
        <v>3:1:Ahead</v>
      </c>
      <c r="BS158" s="554" t="str">
        <f t="shared" si="63"/>
        <v>% Wire Ice</v>
      </c>
      <c r="BT158" s="391">
        <f t="shared" si="64"/>
        <v>40</v>
      </c>
      <c r="BU158" s="579" t="str">
        <f>$O158+10&amp;":1:"&amp;"Ahead"</f>
        <v>13:1:Ahead</v>
      </c>
      <c r="BV158" s="554" t="str">
        <f t="shared" si="66"/>
        <v>% Wire Ice</v>
      </c>
      <c r="BW158" s="580">
        <f t="shared" ref="BW158:BW161" si="105">IF($L158="A",40,70)</f>
        <v>40</v>
      </c>
      <c r="BX158" s="389" t="str">
        <f t="shared" si="68"/>
        <v>3:1:Back</v>
      </c>
      <c r="BY158" s="554" t="str">
        <f t="shared" si="69"/>
        <v>% Wire Ice</v>
      </c>
      <c r="BZ158" s="391">
        <f t="shared" si="70"/>
        <v>70</v>
      </c>
      <c r="CA158" s="389" t="str">
        <f t="shared" si="71"/>
        <v>4:1:Back+Ahead</v>
      </c>
      <c r="CB158" s="554" t="str">
        <f t="shared" si="72"/>
        <v>% Wire Ice</v>
      </c>
      <c r="CC158" s="391">
        <f t="shared" si="73"/>
        <v>70</v>
      </c>
      <c r="CD158" s="389" t="str">
        <f t="shared" si="74"/>
        <v>14:1:Ahead</v>
      </c>
      <c r="CE158" s="554" t="str">
        <f t="shared" si="75"/>
        <v>% Wire Ice</v>
      </c>
      <c r="CF158" s="391">
        <f t="shared" si="76"/>
        <v>70</v>
      </c>
      <c r="CG158" s="389" t="str">
        <f t="shared" si="77"/>
        <v>5:1:Back+Ahead</v>
      </c>
      <c r="CH158" s="554" t="str">
        <f t="shared" si="78"/>
        <v>% Wire Ice</v>
      </c>
      <c r="CI158" s="391">
        <f t="shared" si="79"/>
        <v>70</v>
      </c>
      <c r="CJ158" s="389" t="str">
        <f t="shared" si="80"/>
        <v>15:1:Ahead</v>
      </c>
      <c r="CK158" s="554" t="str">
        <f t="shared" si="81"/>
        <v>% Wire Ice</v>
      </c>
      <c r="CL158" s="391">
        <f t="shared" si="82"/>
        <v>70</v>
      </c>
      <c r="CM158" s="389" t="str">
        <f t="shared" si="83"/>
        <v>6:1:Back+Ahead</v>
      </c>
      <c r="CN158" s="554" t="str">
        <f t="shared" si="84"/>
        <v>% Wire Ice</v>
      </c>
      <c r="CO158" s="391">
        <f t="shared" si="85"/>
        <v>70</v>
      </c>
      <c r="CP158" s="554" t="str">
        <f t="shared" si="86"/>
        <v>16:1:Ahead</v>
      </c>
      <c r="CQ158" s="554" t="str">
        <f t="shared" si="87"/>
        <v>% Wire Ice</v>
      </c>
      <c r="CR158" s="554">
        <f t="shared" si="88"/>
        <v>70</v>
      </c>
      <c r="CS158" s="554" t="str">
        <f t="shared" si="89"/>
        <v>7:1:Back+Ahead</v>
      </c>
      <c r="CT158" s="554" t="str">
        <f t="shared" si="90"/>
        <v>% Wire Ice</v>
      </c>
      <c r="CU158" s="554">
        <f t="shared" si="91"/>
        <v>70</v>
      </c>
      <c r="CV158" s="554" t="str">
        <f t="shared" si="92"/>
        <v>17:1:Ahead</v>
      </c>
      <c r="CW158" s="554" t="str">
        <f t="shared" si="93"/>
        <v>% Wire Ice</v>
      </c>
      <c r="CX158" s="554">
        <f t="shared" si="94"/>
        <v>70</v>
      </c>
      <c r="CY158" s="554" t="str">
        <f t="shared" si="95"/>
        <v>8:1:Back+Ahead</v>
      </c>
      <c r="CZ158" s="554" t="str">
        <f t="shared" si="96"/>
        <v>% Wire Ice</v>
      </c>
      <c r="DA158" s="554">
        <f t="shared" si="97"/>
        <v>70</v>
      </c>
      <c r="DB158" s="554" t="str">
        <f t="shared" si="98"/>
        <v>18:1:Ahead</v>
      </c>
      <c r="DC158" s="554" t="str">
        <f t="shared" si="99"/>
        <v>% Wire Ice</v>
      </c>
      <c r="DD158" s="554">
        <f t="shared" si="100"/>
        <v>70</v>
      </c>
      <c r="DE158" s="534"/>
      <c r="DF158" s="534"/>
      <c r="DG158" s="534"/>
    </row>
    <row r="159" spans="1:111" ht="15" x14ac:dyDescent="0.25">
      <c r="A159" s="549">
        <f>IFERROR(IF(INDEX('Weather Cases'!$E$10:$E$94,MATCH('Load Criteria'!X159,'Weather Cases'!$H$10:$H$94,0),1)=1,1,"-"),"-")</f>
        <v>1</v>
      </c>
      <c r="B159" s="555" t="s">
        <v>558</v>
      </c>
      <c r="C159" s="555" t="s">
        <v>573</v>
      </c>
      <c r="D159" s="555" t="s">
        <v>567</v>
      </c>
      <c r="E159" s="556" t="s">
        <v>22</v>
      </c>
      <c r="F159" s="556" t="s">
        <v>22</v>
      </c>
      <c r="G159" s="556" t="str">
        <f>IFERROR(IF(MID('Load Criteria'!X159,FIND("_",'Load Criteria'!X159,1)+1,1)=LEFT(Control!$D$23,1),"YES","-"),"-")</f>
        <v>-</v>
      </c>
      <c r="H159" s="549" t="str">
        <f>IF(INDEX('Weather Cases'!$G$10:$G$94,MATCH('Load Criteria'!X159,'Weather Cases'!$H$10:$H$94,0),1)="H","YES","")</f>
        <v>YES</v>
      </c>
      <c r="I159" s="557" t="s">
        <v>316</v>
      </c>
      <c r="J159" s="550">
        <v>50</v>
      </c>
      <c r="K159" s="508" t="s">
        <v>571</v>
      </c>
      <c r="L159" s="508" t="s">
        <v>40</v>
      </c>
      <c r="M159" s="508">
        <v>1</v>
      </c>
      <c r="N159" s="508">
        <v>2</v>
      </c>
      <c r="O159" s="508">
        <v>3</v>
      </c>
      <c r="P159" s="395">
        <v>4</v>
      </c>
      <c r="Q159" s="395">
        <v>5</v>
      </c>
      <c r="R159" s="395">
        <v>6</v>
      </c>
      <c r="S159" s="395">
        <v>7</v>
      </c>
      <c r="T159" s="395">
        <v>8</v>
      </c>
      <c r="U159" s="255" t="s">
        <v>568</v>
      </c>
      <c r="V159" s="551" t="s">
        <v>300</v>
      </c>
      <c r="W159" s="542" t="str">
        <f t="shared" si="51"/>
        <v>ES0050_8+TB123 NA+</v>
      </c>
      <c r="X159" s="552" t="str">
        <f>I159&amp;TEXT(J159,"0000")&amp;"_"&amp;LEFT(Control!$D$22,LEN(Control!$D$22)-2)</f>
        <v>ES0050_8</v>
      </c>
      <c r="Y159" s="552" t="s">
        <v>433</v>
      </c>
      <c r="Z159" s="552" t="str">
        <f t="shared" si="49"/>
        <v>NA+</v>
      </c>
      <c r="AA159" s="552"/>
      <c r="AB159" s="552">
        <v>1</v>
      </c>
      <c r="AC159" s="552">
        <v>1</v>
      </c>
      <c r="AD159" s="552">
        <v>1</v>
      </c>
      <c r="AE159" s="552">
        <v>1</v>
      </c>
      <c r="AF159" s="552">
        <v>1</v>
      </c>
      <c r="AG159" s="542" t="s">
        <v>561</v>
      </c>
      <c r="AH159" s="552">
        <v>0</v>
      </c>
      <c r="AI159" s="552">
        <v>0</v>
      </c>
      <c r="AJ159" s="552">
        <v>1</v>
      </c>
      <c r="AK159" s="552">
        <v>1</v>
      </c>
      <c r="AL159" s="552">
        <v>1</v>
      </c>
      <c r="AM159" s="552">
        <v>0</v>
      </c>
      <c r="AN159" s="552">
        <v>0</v>
      </c>
      <c r="AO159" s="552">
        <v>1</v>
      </c>
      <c r="AP159" s="552">
        <v>1</v>
      </c>
      <c r="AQ159" s="552">
        <v>1</v>
      </c>
      <c r="AR159" s="552">
        <v>1</v>
      </c>
      <c r="AS159" s="552">
        <v>1</v>
      </c>
      <c r="AT159" s="552">
        <v>1</v>
      </c>
      <c r="AU159" s="552">
        <v>1</v>
      </c>
      <c r="AV159" s="553" t="str">
        <f>IF(H159="YES","'"&amp;INDEX('Structure Groups'!$C$12:$C$14,MATCH('Load Criteria'!$B$5,'Structure Groups'!$B$12:$B$14,0),1)&amp;"'","'All'")</f>
        <v>'GL Max 800m'</v>
      </c>
      <c r="AW159" s="552" t="s">
        <v>562</v>
      </c>
      <c r="AX159" s="552"/>
      <c r="AY159" s="552" t="str">
        <f t="shared" si="50"/>
        <v>Yes</v>
      </c>
      <c r="AZ159" s="389" t="str">
        <f t="shared" si="56"/>
        <v>1:1:Back</v>
      </c>
      <c r="BA159" s="554" t="s">
        <v>572</v>
      </c>
      <c r="BB159" s="391">
        <v>40</v>
      </c>
      <c r="BC159" s="579" t="str">
        <f t="shared" si="52"/>
        <v>11:1:Ahead</v>
      </c>
      <c r="BD159" s="554" t="s">
        <v>572</v>
      </c>
      <c r="BE159" s="580">
        <f t="shared" si="102"/>
        <v>70</v>
      </c>
      <c r="BF159" s="389" t="str">
        <f t="shared" si="57"/>
        <v>1:1:Ahead</v>
      </c>
      <c r="BG159" s="554" t="str">
        <f t="shared" si="58"/>
        <v>% Wire Ice</v>
      </c>
      <c r="BH159" s="391">
        <v>70</v>
      </c>
      <c r="BI159" s="389" t="str">
        <f t="shared" si="59"/>
        <v>2:1:Back</v>
      </c>
      <c r="BJ159" s="554" t="s">
        <v>572</v>
      </c>
      <c r="BK159" s="391">
        <v>40</v>
      </c>
      <c r="BL159" s="579" t="str">
        <f t="shared" ref="BL159:BL161" si="106">$N159+10&amp;":1:"&amp;"Ahead"</f>
        <v>12:1:Ahead</v>
      </c>
      <c r="BM159" s="554" t="s">
        <v>572</v>
      </c>
      <c r="BN159" s="580">
        <f t="shared" si="104"/>
        <v>70</v>
      </c>
      <c r="BO159" s="389" t="str">
        <f t="shared" si="60"/>
        <v>2:1:Ahead</v>
      </c>
      <c r="BP159" s="554" t="str">
        <f t="shared" si="61"/>
        <v>% Wire Ice</v>
      </c>
      <c r="BQ159" s="391">
        <v>70</v>
      </c>
      <c r="BR159" s="389" t="str">
        <f t="shared" si="62"/>
        <v>3:1:Back</v>
      </c>
      <c r="BS159" s="554" t="str">
        <f t="shared" si="63"/>
        <v>% Wire Ice</v>
      </c>
      <c r="BT159" s="391">
        <f t="shared" si="64"/>
        <v>40</v>
      </c>
      <c r="BU159" s="579" t="str">
        <f t="shared" ref="BU159:BU161" si="107">$O159+10&amp;":1:"&amp;"Ahead"</f>
        <v>13:1:Ahead</v>
      </c>
      <c r="BV159" s="554" t="str">
        <f t="shared" si="66"/>
        <v>% Wire Ice</v>
      </c>
      <c r="BW159" s="580">
        <f t="shared" si="105"/>
        <v>70</v>
      </c>
      <c r="BX159" s="389" t="str">
        <f t="shared" si="68"/>
        <v>3:1:Ahead</v>
      </c>
      <c r="BY159" s="554" t="str">
        <f t="shared" si="69"/>
        <v>% Wire Ice</v>
      </c>
      <c r="BZ159" s="391">
        <f t="shared" si="70"/>
        <v>70</v>
      </c>
      <c r="CA159" s="389" t="str">
        <f t="shared" si="71"/>
        <v>4:1:Back+Ahead</v>
      </c>
      <c r="CB159" s="554" t="str">
        <f t="shared" si="72"/>
        <v>% Wire Ice</v>
      </c>
      <c r="CC159" s="391">
        <f t="shared" si="73"/>
        <v>70</v>
      </c>
      <c r="CD159" s="389" t="str">
        <f t="shared" si="74"/>
        <v>14:1:Ahead</v>
      </c>
      <c r="CE159" s="554" t="str">
        <f t="shared" si="75"/>
        <v>% Wire Ice</v>
      </c>
      <c r="CF159" s="391">
        <f t="shared" si="76"/>
        <v>70</v>
      </c>
      <c r="CG159" s="389" t="str">
        <f t="shared" si="77"/>
        <v>5:1:Back+Ahead</v>
      </c>
      <c r="CH159" s="554" t="str">
        <f t="shared" si="78"/>
        <v>% Wire Ice</v>
      </c>
      <c r="CI159" s="391">
        <f t="shared" si="79"/>
        <v>70</v>
      </c>
      <c r="CJ159" s="389" t="str">
        <f t="shared" si="80"/>
        <v>15:1:Ahead</v>
      </c>
      <c r="CK159" s="554" t="str">
        <f t="shared" si="81"/>
        <v>% Wire Ice</v>
      </c>
      <c r="CL159" s="391">
        <f t="shared" si="82"/>
        <v>70</v>
      </c>
      <c r="CM159" s="389" t="str">
        <f t="shared" si="83"/>
        <v>6:1:Back+Ahead</v>
      </c>
      <c r="CN159" s="554" t="str">
        <f t="shared" si="84"/>
        <v>% Wire Ice</v>
      </c>
      <c r="CO159" s="391">
        <f t="shared" si="85"/>
        <v>70</v>
      </c>
      <c r="CP159" s="554" t="str">
        <f t="shared" si="86"/>
        <v>16:1:Ahead</v>
      </c>
      <c r="CQ159" s="554" t="str">
        <f t="shared" si="87"/>
        <v>% Wire Ice</v>
      </c>
      <c r="CR159" s="554">
        <f t="shared" si="88"/>
        <v>70</v>
      </c>
      <c r="CS159" s="554" t="str">
        <f t="shared" si="89"/>
        <v>7:1:Back+Ahead</v>
      </c>
      <c r="CT159" s="554" t="str">
        <f t="shared" si="90"/>
        <v>% Wire Ice</v>
      </c>
      <c r="CU159" s="554">
        <f t="shared" si="91"/>
        <v>70</v>
      </c>
      <c r="CV159" s="554" t="str">
        <f t="shared" si="92"/>
        <v>17:1:Ahead</v>
      </c>
      <c r="CW159" s="554" t="str">
        <f t="shared" si="93"/>
        <v>% Wire Ice</v>
      </c>
      <c r="CX159" s="554">
        <f t="shared" si="94"/>
        <v>70</v>
      </c>
      <c r="CY159" s="554" t="str">
        <f t="shared" si="95"/>
        <v>8:1:Back+Ahead</v>
      </c>
      <c r="CZ159" s="554" t="str">
        <f t="shared" si="96"/>
        <v>% Wire Ice</v>
      </c>
      <c r="DA159" s="554">
        <f t="shared" si="97"/>
        <v>70</v>
      </c>
      <c r="DB159" s="554" t="str">
        <f t="shared" si="98"/>
        <v>18:1:Ahead</v>
      </c>
      <c r="DC159" s="554" t="str">
        <f t="shared" si="99"/>
        <v>% Wire Ice</v>
      </c>
      <c r="DD159" s="554">
        <f t="shared" si="100"/>
        <v>70</v>
      </c>
      <c r="DE159" s="534"/>
      <c r="DF159" s="534"/>
      <c r="DG159" s="534"/>
    </row>
    <row r="160" spans="1:111" ht="15" x14ac:dyDescent="0.25">
      <c r="A160" s="549">
        <f>IFERROR(IF(INDEX('Weather Cases'!$E$10:$E$94,MATCH('Load Criteria'!X160,'Weather Cases'!$H$10:$H$94,0),1)=1,1,"-"),"-")</f>
        <v>1</v>
      </c>
      <c r="B160" s="555" t="s">
        <v>558</v>
      </c>
      <c r="C160" s="555" t="s">
        <v>573</v>
      </c>
      <c r="D160" s="555" t="s">
        <v>567</v>
      </c>
      <c r="E160" s="556" t="s">
        <v>22</v>
      </c>
      <c r="F160" s="556" t="s">
        <v>22</v>
      </c>
      <c r="G160" s="556" t="str">
        <f>IFERROR(IF(MID('Load Criteria'!X160,FIND("_",'Load Criteria'!X160,1)+1,1)=LEFT(Control!$D$23,1),"YES","-"),"-")</f>
        <v>-</v>
      </c>
      <c r="H160" s="549" t="str">
        <f>IF(INDEX('Weather Cases'!$G$10:$G$94,MATCH('Load Criteria'!X160,'Weather Cases'!$H$10:$H$94,0),1)="H","YES","")</f>
        <v>YES</v>
      </c>
      <c r="I160" s="557" t="s">
        <v>316</v>
      </c>
      <c r="J160" s="550">
        <v>50</v>
      </c>
      <c r="K160" s="508" t="s">
        <v>571</v>
      </c>
      <c r="L160" s="508" t="s">
        <v>24</v>
      </c>
      <c r="M160" s="508">
        <v>4</v>
      </c>
      <c r="N160" s="508">
        <v>5</v>
      </c>
      <c r="O160" s="508">
        <v>6</v>
      </c>
      <c r="P160" s="395">
        <v>1</v>
      </c>
      <c r="Q160" s="395">
        <v>2</v>
      </c>
      <c r="R160" s="395">
        <v>3</v>
      </c>
      <c r="S160" s="395">
        <v>7</v>
      </c>
      <c r="T160" s="395">
        <v>8</v>
      </c>
      <c r="U160" s="255" t="s">
        <v>568</v>
      </c>
      <c r="V160" s="551" t="s">
        <v>300</v>
      </c>
      <c r="W160" s="542" t="str">
        <f t="shared" si="51"/>
        <v>ES0050_8+TA456 NA+</v>
      </c>
      <c r="X160" s="552" t="str">
        <f>I160&amp;TEXT(J160,"0000")&amp;"_"&amp;LEFT(Control!$D$22,LEN(Control!$D$22)-2)</f>
        <v>ES0050_8</v>
      </c>
      <c r="Y160" s="552" t="s">
        <v>433</v>
      </c>
      <c r="Z160" s="552" t="str">
        <f t="shared" si="49"/>
        <v>NA+</v>
      </c>
      <c r="AA160" s="552"/>
      <c r="AB160" s="552">
        <v>1</v>
      </c>
      <c r="AC160" s="552">
        <v>1</v>
      </c>
      <c r="AD160" s="552">
        <v>1</v>
      </c>
      <c r="AE160" s="552">
        <v>1</v>
      </c>
      <c r="AF160" s="552">
        <v>1</v>
      </c>
      <c r="AG160" s="542" t="s">
        <v>561</v>
      </c>
      <c r="AH160" s="552">
        <v>0</v>
      </c>
      <c r="AI160" s="552">
        <v>0</v>
      </c>
      <c r="AJ160" s="552">
        <v>1</v>
      </c>
      <c r="AK160" s="552">
        <v>1</v>
      </c>
      <c r="AL160" s="552">
        <v>1</v>
      </c>
      <c r="AM160" s="552">
        <v>0</v>
      </c>
      <c r="AN160" s="552">
        <v>0</v>
      </c>
      <c r="AO160" s="552">
        <v>1</v>
      </c>
      <c r="AP160" s="552">
        <v>1</v>
      </c>
      <c r="AQ160" s="552">
        <v>1</v>
      </c>
      <c r="AR160" s="552">
        <v>1</v>
      </c>
      <c r="AS160" s="552">
        <v>1</v>
      </c>
      <c r="AT160" s="552">
        <v>1</v>
      </c>
      <c r="AU160" s="552">
        <v>1</v>
      </c>
      <c r="AV160" s="553" t="str">
        <f>IF(H160="YES","'"&amp;INDEX('Structure Groups'!$C$12:$C$14,MATCH('Load Criteria'!$B$5,'Structure Groups'!$B$12:$B$14,0),1)&amp;"'","'All'")</f>
        <v>'GL Max 800m'</v>
      </c>
      <c r="AW160" s="552" t="s">
        <v>562</v>
      </c>
      <c r="AX160" s="552"/>
      <c r="AY160" s="552" t="str">
        <f t="shared" si="50"/>
        <v>Yes</v>
      </c>
      <c r="AZ160" s="389" t="str">
        <f t="shared" si="56"/>
        <v>4:1:Ahead</v>
      </c>
      <c r="BA160" s="554" t="s">
        <v>572</v>
      </c>
      <c r="BB160" s="391">
        <v>40</v>
      </c>
      <c r="BC160" s="579" t="str">
        <f t="shared" si="52"/>
        <v>14:1:Ahead</v>
      </c>
      <c r="BD160" s="554" t="s">
        <v>572</v>
      </c>
      <c r="BE160" s="580">
        <f t="shared" si="102"/>
        <v>40</v>
      </c>
      <c r="BF160" s="389" t="str">
        <f t="shared" si="57"/>
        <v>4:1:Back</v>
      </c>
      <c r="BG160" s="554" t="str">
        <f t="shared" si="58"/>
        <v>% Wire Ice</v>
      </c>
      <c r="BH160" s="391">
        <v>70</v>
      </c>
      <c r="BI160" s="389" t="str">
        <f t="shared" si="59"/>
        <v>5:1:Ahead</v>
      </c>
      <c r="BJ160" s="554" t="s">
        <v>572</v>
      </c>
      <c r="BK160" s="391">
        <v>40</v>
      </c>
      <c r="BL160" s="579" t="str">
        <f t="shared" si="106"/>
        <v>15:1:Ahead</v>
      </c>
      <c r="BM160" s="554" t="s">
        <v>572</v>
      </c>
      <c r="BN160" s="580">
        <f t="shared" si="104"/>
        <v>40</v>
      </c>
      <c r="BO160" s="389" t="str">
        <f t="shared" si="60"/>
        <v>5:1:Back</v>
      </c>
      <c r="BP160" s="554" t="str">
        <f t="shared" si="61"/>
        <v>% Wire Ice</v>
      </c>
      <c r="BQ160" s="391">
        <v>70</v>
      </c>
      <c r="BR160" s="389" t="str">
        <f t="shared" si="62"/>
        <v>6:1:Ahead</v>
      </c>
      <c r="BS160" s="554" t="str">
        <f t="shared" si="63"/>
        <v>% Wire Ice</v>
      </c>
      <c r="BT160" s="391">
        <f t="shared" si="64"/>
        <v>40</v>
      </c>
      <c r="BU160" s="579" t="str">
        <f t="shared" si="107"/>
        <v>16:1:Ahead</v>
      </c>
      <c r="BV160" s="554" t="str">
        <f t="shared" si="66"/>
        <v>% Wire Ice</v>
      </c>
      <c r="BW160" s="580">
        <f t="shared" si="105"/>
        <v>40</v>
      </c>
      <c r="BX160" s="389" t="str">
        <f t="shared" si="68"/>
        <v>6:1:Back</v>
      </c>
      <c r="BY160" s="554" t="str">
        <f t="shared" si="69"/>
        <v>% Wire Ice</v>
      </c>
      <c r="BZ160" s="391">
        <f t="shared" si="70"/>
        <v>70</v>
      </c>
      <c r="CA160" s="389" t="str">
        <f t="shared" si="71"/>
        <v>1:1:Back+Ahead</v>
      </c>
      <c r="CB160" s="554" t="str">
        <f t="shared" si="72"/>
        <v>% Wire Ice</v>
      </c>
      <c r="CC160" s="391">
        <f t="shared" si="73"/>
        <v>70</v>
      </c>
      <c r="CD160" s="389" t="str">
        <f t="shared" si="74"/>
        <v>11:1:Ahead</v>
      </c>
      <c r="CE160" s="554" t="str">
        <f t="shared" si="75"/>
        <v>% Wire Ice</v>
      </c>
      <c r="CF160" s="391">
        <f t="shared" si="76"/>
        <v>70</v>
      </c>
      <c r="CG160" s="389" t="str">
        <f t="shared" si="77"/>
        <v>2:1:Back+Ahead</v>
      </c>
      <c r="CH160" s="554" t="str">
        <f t="shared" si="78"/>
        <v>% Wire Ice</v>
      </c>
      <c r="CI160" s="391">
        <f t="shared" si="79"/>
        <v>70</v>
      </c>
      <c r="CJ160" s="389" t="str">
        <f t="shared" si="80"/>
        <v>12:1:Ahead</v>
      </c>
      <c r="CK160" s="554" t="str">
        <f t="shared" si="81"/>
        <v>% Wire Ice</v>
      </c>
      <c r="CL160" s="391">
        <f t="shared" si="82"/>
        <v>70</v>
      </c>
      <c r="CM160" s="389" t="str">
        <f t="shared" si="83"/>
        <v>3:1:Back+Ahead</v>
      </c>
      <c r="CN160" s="554" t="str">
        <f t="shared" si="84"/>
        <v>% Wire Ice</v>
      </c>
      <c r="CO160" s="391">
        <f t="shared" si="85"/>
        <v>70</v>
      </c>
      <c r="CP160" s="554" t="str">
        <f t="shared" si="86"/>
        <v>13:1:Ahead</v>
      </c>
      <c r="CQ160" s="554" t="str">
        <f t="shared" si="87"/>
        <v>% Wire Ice</v>
      </c>
      <c r="CR160" s="554">
        <f t="shared" si="88"/>
        <v>70</v>
      </c>
      <c r="CS160" s="554" t="str">
        <f t="shared" si="89"/>
        <v>7:1:Back+Ahead</v>
      </c>
      <c r="CT160" s="554" t="str">
        <f t="shared" si="90"/>
        <v>% Wire Ice</v>
      </c>
      <c r="CU160" s="554">
        <f t="shared" si="91"/>
        <v>70</v>
      </c>
      <c r="CV160" s="554" t="str">
        <f t="shared" si="92"/>
        <v>17:1:Ahead</v>
      </c>
      <c r="CW160" s="554" t="str">
        <f t="shared" si="93"/>
        <v>% Wire Ice</v>
      </c>
      <c r="CX160" s="554">
        <f t="shared" si="94"/>
        <v>70</v>
      </c>
      <c r="CY160" s="554" t="str">
        <f t="shared" si="95"/>
        <v>8:1:Back+Ahead</v>
      </c>
      <c r="CZ160" s="554" t="str">
        <f t="shared" si="96"/>
        <v>% Wire Ice</v>
      </c>
      <c r="DA160" s="554">
        <f t="shared" si="97"/>
        <v>70</v>
      </c>
      <c r="DB160" s="554" t="str">
        <f t="shared" si="98"/>
        <v>18:1:Ahead</v>
      </c>
      <c r="DC160" s="554" t="str">
        <f t="shared" si="99"/>
        <v>% Wire Ice</v>
      </c>
      <c r="DD160" s="554">
        <f t="shared" si="100"/>
        <v>70</v>
      </c>
      <c r="DE160" s="534"/>
      <c r="DF160" s="534"/>
      <c r="DG160" s="534"/>
    </row>
    <row r="161" spans="1:111" ht="15" x14ac:dyDescent="0.25">
      <c r="A161" s="549">
        <f>IFERROR(IF(INDEX('Weather Cases'!$E$10:$E$94,MATCH('Load Criteria'!X161,'Weather Cases'!$H$10:$H$94,0),1)=1,1,"-"),"-")</f>
        <v>1</v>
      </c>
      <c r="B161" s="555" t="s">
        <v>558</v>
      </c>
      <c r="C161" s="555" t="s">
        <v>573</v>
      </c>
      <c r="D161" s="555" t="s">
        <v>567</v>
      </c>
      <c r="E161" s="556" t="s">
        <v>22</v>
      </c>
      <c r="F161" s="556" t="s">
        <v>22</v>
      </c>
      <c r="G161" s="556" t="str">
        <f>IFERROR(IF(MID('Load Criteria'!X161,FIND("_",'Load Criteria'!X161,1)+1,1)=LEFT(Control!$D$23,1),"YES","-"),"-")</f>
        <v>-</v>
      </c>
      <c r="H161" s="549" t="str">
        <f>IF(INDEX('Weather Cases'!$G$10:$G$94,MATCH('Load Criteria'!X161,'Weather Cases'!$H$10:$H$94,0),1)="H","YES","")</f>
        <v>YES</v>
      </c>
      <c r="I161" s="557" t="s">
        <v>316</v>
      </c>
      <c r="J161" s="550">
        <v>50</v>
      </c>
      <c r="K161" s="508" t="s">
        <v>571</v>
      </c>
      <c r="L161" s="508" t="s">
        <v>40</v>
      </c>
      <c r="M161" s="508">
        <v>4</v>
      </c>
      <c r="N161" s="508">
        <v>5</v>
      </c>
      <c r="O161" s="508">
        <v>6</v>
      </c>
      <c r="P161" s="395">
        <v>1</v>
      </c>
      <c r="Q161" s="395">
        <v>2</v>
      </c>
      <c r="R161" s="395">
        <v>3</v>
      </c>
      <c r="S161" s="395">
        <v>7</v>
      </c>
      <c r="T161" s="395">
        <v>8</v>
      </c>
      <c r="U161" s="255" t="s">
        <v>568</v>
      </c>
      <c r="V161" s="551" t="s">
        <v>300</v>
      </c>
      <c r="W161" s="542" t="str">
        <f t="shared" si="51"/>
        <v>ES0050_8+TB456 NA+</v>
      </c>
      <c r="X161" s="552" t="str">
        <f>I161&amp;TEXT(J161,"0000")&amp;"_"&amp;LEFT(Control!$D$22,LEN(Control!$D$22)-2)</f>
        <v>ES0050_8</v>
      </c>
      <c r="Y161" s="552" t="s">
        <v>433</v>
      </c>
      <c r="Z161" s="552" t="str">
        <f t="shared" si="49"/>
        <v>NA+</v>
      </c>
      <c r="AA161" s="552"/>
      <c r="AB161" s="552">
        <v>1</v>
      </c>
      <c r="AC161" s="552">
        <v>1</v>
      </c>
      <c r="AD161" s="552">
        <v>1</v>
      </c>
      <c r="AE161" s="552">
        <v>1</v>
      </c>
      <c r="AF161" s="552">
        <v>1</v>
      </c>
      <c r="AG161" s="542" t="s">
        <v>561</v>
      </c>
      <c r="AH161" s="552">
        <v>0</v>
      </c>
      <c r="AI161" s="552">
        <v>0</v>
      </c>
      <c r="AJ161" s="552">
        <v>1</v>
      </c>
      <c r="AK161" s="552">
        <v>1</v>
      </c>
      <c r="AL161" s="552">
        <v>1</v>
      </c>
      <c r="AM161" s="552">
        <v>0</v>
      </c>
      <c r="AN161" s="552">
        <v>0</v>
      </c>
      <c r="AO161" s="552">
        <v>1</v>
      </c>
      <c r="AP161" s="552">
        <v>1</v>
      </c>
      <c r="AQ161" s="552">
        <v>1</v>
      </c>
      <c r="AR161" s="552">
        <v>1</v>
      </c>
      <c r="AS161" s="552">
        <v>1</v>
      </c>
      <c r="AT161" s="552">
        <v>1</v>
      </c>
      <c r="AU161" s="552">
        <v>1</v>
      </c>
      <c r="AV161" s="553" t="str">
        <f>IF(H161="YES","'"&amp;INDEX('Structure Groups'!$C$12:$C$14,MATCH('Load Criteria'!$B$5,'Structure Groups'!$B$12:$B$14,0),1)&amp;"'","'All'")</f>
        <v>'GL Max 800m'</v>
      </c>
      <c r="AW161" s="552" t="s">
        <v>562</v>
      </c>
      <c r="AX161" s="552"/>
      <c r="AY161" s="552" t="str">
        <f t="shared" si="50"/>
        <v>Yes</v>
      </c>
      <c r="AZ161" s="389" t="str">
        <f t="shared" si="56"/>
        <v>4:1:Back</v>
      </c>
      <c r="BA161" s="554" t="s">
        <v>572</v>
      </c>
      <c r="BB161" s="391">
        <v>40</v>
      </c>
      <c r="BC161" s="579" t="str">
        <f t="shared" si="52"/>
        <v>14:1:Ahead</v>
      </c>
      <c r="BD161" s="554" t="s">
        <v>572</v>
      </c>
      <c r="BE161" s="580">
        <f t="shared" si="102"/>
        <v>70</v>
      </c>
      <c r="BF161" s="389" t="str">
        <f t="shared" si="57"/>
        <v>4:1:Ahead</v>
      </c>
      <c r="BG161" s="554" t="str">
        <f t="shared" si="58"/>
        <v>% Wire Ice</v>
      </c>
      <c r="BH161" s="391">
        <v>70</v>
      </c>
      <c r="BI161" s="389" t="str">
        <f t="shared" si="59"/>
        <v>5:1:Back</v>
      </c>
      <c r="BJ161" s="554" t="s">
        <v>572</v>
      </c>
      <c r="BK161" s="391">
        <v>40</v>
      </c>
      <c r="BL161" s="579" t="str">
        <f t="shared" si="106"/>
        <v>15:1:Ahead</v>
      </c>
      <c r="BM161" s="554" t="s">
        <v>572</v>
      </c>
      <c r="BN161" s="580">
        <f t="shared" si="104"/>
        <v>70</v>
      </c>
      <c r="BO161" s="389" t="str">
        <f t="shared" si="60"/>
        <v>5:1:Ahead</v>
      </c>
      <c r="BP161" s="554" t="str">
        <f t="shared" si="61"/>
        <v>% Wire Ice</v>
      </c>
      <c r="BQ161" s="391">
        <v>70</v>
      </c>
      <c r="BR161" s="389" t="str">
        <f t="shared" si="62"/>
        <v>6:1:Back</v>
      </c>
      <c r="BS161" s="554" t="str">
        <f t="shared" si="63"/>
        <v>% Wire Ice</v>
      </c>
      <c r="BT161" s="391">
        <f t="shared" si="64"/>
        <v>40</v>
      </c>
      <c r="BU161" s="579" t="str">
        <f t="shared" si="107"/>
        <v>16:1:Ahead</v>
      </c>
      <c r="BV161" s="554" t="str">
        <f t="shared" si="66"/>
        <v>% Wire Ice</v>
      </c>
      <c r="BW161" s="580">
        <f t="shared" si="105"/>
        <v>70</v>
      </c>
      <c r="BX161" s="389" t="str">
        <f t="shared" si="68"/>
        <v>6:1:Ahead</v>
      </c>
      <c r="BY161" s="554" t="str">
        <f t="shared" si="69"/>
        <v>% Wire Ice</v>
      </c>
      <c r="BZ161" s="391">
        <f t="shared" si="70"/>
        <v>70</v>
      </c>
      <c r="CA161" s="389" t="str">
        <f t="shared" si="71"/>
        <v>1:1:Back+Ahead</v>
      </c>
      <c r="CB161" s="554" t="str">
        <f t="shared" si="72"/>
        <v>% Wire Ice</v>
      </c>
      <c r="CC161" s="391">
        <f t="shared" si="73"/>
        <v>70</v>
      </c>
      <c r="CD161" s="389" t="str">
        <f t="shared" si="74"/>
        <v>11:1:Ahead</v>
      </c>
      <c r="CE161" s="554" t="str">
        <f t="shared" si="75"/>
        <v>% Wire Ice</v>
      </c>
      <c r="CF161" s="391">
        <f t="shared" si="76"/>
        <v>70</v>
      </c>
      <c r="CG161" s="389" t="str">
        <f t="shared" si="77"/>
        <v>2:1:Back+Ahead</v>
      </c>
      <c r="CH161" s="554" t="str">
        <f t="shared" si="78"/>
        <v>% Wire Ice</v>
      </c>
      <c r="CI161" s="391">
        <f t="shared" si="79"/>
        <v>70</v>
      </c>
      <c r="CJ161" s="389" t="str">
        <f t="shared" si="80"/>
        <v>12:1:Ahead</v>
      </c>
      <c r="CK161" s="554" t="str">
        <f t="shared" si="81"/>
        <v>% Wire Ice</v>
      </c>
      <c r="CL161" s="391">
        <f t="shared" si="82"/>
        <v>70</v>
      </c>
      <c r="CM161" s="389" t="str">
        <f t="shared" si="83"/>
        <v>3:1:Back+Ahead</v>
      </c>
      <c r="CN161" s="554" t="str">
        <f t="shared" si="84"/>
        <v>% Wire Ice</v>
      </c>
      <c r="CO161" s="391">
        <f t="shared" si="85"/>
        <v>70</v>
      </c>
      <c r="CP161" s="554" t="str">
        <f t="shared" si="86"/>
        <v>13:1:Ahead</v>
      </c>
      <c r="CQ161" s="554" t="str">
        <f t="shared" si="87"/>
        <v>% Wire Ice</v>
      </c>
      <c r="CR161" s="554">
        <f t="shared" si="88"/>
        <v>70</v>
      </c>
      <c r="CS161" s="554" t="str">
        <f t="shared" si="89"/>
        <v>7:1:Back+Ahead</v>
      </c>
      <c r="CT161" s="554" t="str">
        <f t="shared" si="90"/>
        <v>% Wire Ice</v>
      </c>
      <c r="CU161" s="554">
        <f t="shared" si="91"/>
        <v>70</v>
      </c>
      <c r="CV161" s="554" t="str">
        <f t="shared" si="92"/>
        <v>17:1:Ahead</v>
      </c>
      <c r="CW161" s="554" t="str">
        <f t="shared" si="93"/>
        <v>% Wire Ice</v>
      </c>
      <c r="CX161" s="554">
        <f t="shared" si="94"/>
        <v>70</v>
      </c>
      <c r="CY161" s="554" t="str">
        <f t="shared" si="95"/>
        <v>8:1:Back+Ahead</v>
      </c>
      <c r="CZ161" s="554" t="str">
        <f t="shared" si="96"/>
        <v>% Wire Ice</v>
      </c>
      <c r="DA161" s="554">
        <f t="shared" si="97"/>
        <v>70</v>
      </c>
      <c r="DB161" s="554" t="str">
        <f t="shared" si="98"/>
        <v>18:1:Ahead</v>
      </c>
      <c r="DC161" s="554" t="str">
        <f t="shared" si="99"/>
        <v>% Wire Ice</v>
      </c>
      <c r="DD161" s="554">
        <f t="shared" si="100"/>
        <v>70</v>
      </c>
      <c r="DE161" s="534"/>
      <c r="DF161" s="534"/>
      <c r="DG161" s="534"/>
    </row>
    <row r="162" spans="1:111" ht="15" x14ac:dyDescent="0.25">
      <c r="A162" s="549">
        <f>IFERROR(IF(INDEX('Weather Cases'!$E$10:$E$94,MATCH('Load Criteria'!X162,'Weather Cases'!$H$10:$H$94,0),1)=1,1,"-"),"-")</f>
        <v>1</v>
      </c>
      <c r="B162" s="555" t="s">
        <v>558</v>
      </c>
      <c r="C162" s="555" t="s">
        <v>559</v>
      </c>
      <c r="D162" s="555" t="s">
        <v>567</v>
      </c>
      <c r="E162" s="556" t="s">
        <v>22</v>
      </c>
      <c r="F162" s="556" t="s">
        <v>22</v>
      </c>
      <c r="G162" s="556" t="str">
        <f>IFERROR(IF(MID('Load Criteria'!X162,FIND("_",'Load Criteria'!X162,1)+1,1)=LEFT(Control!$D$23,1),"YES","-"),"-")</f>
        <v>-</v>
      </c>
      <c r="H162" s="549" t="str">
        <f>IF(INDEX('Weather Cases'!$G$10:$G$94,MATCH('Load Criteria'!X162,'Weather Cases'!$H$10:$H$94,0),1)="H","YES","")</f>
        <v>YES</v>
      </c>
      <c r="I162" s="557" t="s">
        <v>316</v>
      </c>
      <c r="J162" s="550">
        <v>50</v>
      </c>
      <c r="K162" s="508" t="s">
        <v>88</v>
      </c>
      <c r="L162" s="508"/>
      <c r="M162" s="508"/>
      <c r="N162" s="508"/>
      <c r="O162" s="508"/>
      <c r="P162" s="395"/>
      <c r="Q162" s="395"/>
      <c r="R162" s="395"/>
      <c r="S162" s="395"/>
      <c r="T162" s="395"/>
      <c r="U162" s="255" t="s">
        <v>574</v>
      </c>
      <c r="V162" s="551" t="s">
        <v>300</v>
      </c>
      <c r="W162" s="542" t="str">
        <f t="shared" si="51"/>
        <v>ES0050_8+E NA-</v>
      </c>
      <c r="X162" s="552" t="str">
        <f>I162&amp;TEXT(J162,"0000")&amp;"_"&amp;LEFT(Control!$D$22,LEN(Control!$D$22)-2)</f>
        <v>ES0050_8</v>
      </c>
      <c r="Y162" s="552" t="s">
        <v>433</v>
      </c>
      <c r="Z162" s="552" t="str">
        <f t="shared" si="49"/>
        <v>NA-</v>
      </c>
      <c r="AA162" s="552"/>
      <c r="AB162" s="552">
        <v>1</v>
      </c>
      <c r="AC162" s="552">
        <v>1</v>
      </c>
      <c r="AD162" s="552">
        <v>1</v>
      </c>
      <c r="AE162" s="552">
        <v>1</v>
      </c>
      <c r="AF162" s="552">
        <v>1</v>
      </c>
      <c r="AG162" s="542" t="s">
        <v>561</v>
      </c>
      <c r="AH162" s="552">
        <v>0</v>
      </c>
      <c r="AI162" s="552">
        <v>0</v>
      </c>
      <c r="AJ162" s="552">
        <v>1</v>
      </c>
      <c r="AK162" s="552">
        <v>1</v>
      </c>
      <c r="AL162" s="552">
        <v>1</v>
      </c>
      <c r="AM162" s="552">
        <v>0</v>
      </c>
      <c r="AN162" s="552">
        <v>0</v>
      </c>
      <c r="AO162" s="552">
        <v>1</v>
      </c>
      <c r="AP162" s="552">
        <v>1</v>
      </c>
      <c r="AQ162" s="552">
        <v>1</v>
      </c>
      <c r="AR162" s="552">
        <v>1</v>
      </c>
      <c r="AS162" s="552">
        <v>1</v>
      </c>
      <c r="AT162" s="552">
        <v>1</v>
      </c>
      <c r="AU162" s="552">
        <v>1</v>
      </c>
      <c r="AV162" s="553" t="str">
        <f>IF(H162="YES","'"&amp;INDEX('Structure Groups'!$C$12:$C$14,MATCH('Load Criteria'!$B$5,'Structure Groups'!$B$12:$B$14,0),1)&amp;"'","'All'")</f>
        <v>'GL Max 800m'</v>
      </c>
      <c r="AW162" s="552" t="s">
        <v>562</v>
      </c>
      <c r="AX162" s="552"/>
      <c r="AY162" s="552" t="str">
        <f t="shared" si="50"/>
        <v>No</v>
      </c>
      <c r="AZ162" s="554" t="str">
        <f>IF(AY162="No","",IF(L162="A","Ahead Spans","Back Spans"))</f>
        <v/>
      </c>
      <c r="BA162" s="554"/>
      <c r="BB162" s="552"/>
      <c r="BC162" s="554"/>
      <c r="BD162" s="552"/>
      <c r="BE162" s="554"/>
      <c r="BF162" s="554"/>
      <c r="BG162" s="554"/>
      <c r="BH162" s="554"/>
      <c r="BI162" s="554"/>
      <c r="BJ162" s="554"/>
      <c r="BK162" s="554"/>
      <c r="BL162" s="554"/>
      <c r="BM162" s="554"/>
      <c r="BN162" s="554"/>
      <c r="BO162" s="554"/>
      <c r="BP162" s="554"/>
      <c r="BQ162" s="554"/>
      <c r="BR162" s="554"/>
      <c r="BS162" s="554"/>
      <c r="BT162" s="554"/>
      <c r="BU162" s="554"/>
      <c r="BV162" s="554"/>
      <c r="BW162" s="554"/>
      <c r="BX162" s="554"/>
      <c r="BY162" s="554"/>
      <c r="BZ162" s="554"/>
      <c r="CA162" s="554"/>
      <c r="CB162" s="554"/>
      <c r="CC162" s="554"/>
      <c r="CD162" s="554"/>
      <c r="CE162" s="554"/>
      <c r="CF162" s="554"/>
      <c r="CG162" s="554"/>
      <c r="CH162" s="554"/>
      <c r="CI162" s="554"/>
      <c r="CJ162" s="554"/>
      <c r="CK162" s="554"/>
      <c r="CL162" s="554"/>
      <c r="CM162" s="554"/>
      <c r="CN162" s="554"/>
      <c r="CO162" s="554"/>
      <c r="CP162" s="554"/>
      <c r="CQ162" s="554"/>
      <c r="CR162" s="554"/>
      <c r="CS162" s="554"/>
      <c r="CT162" s="554"/>
      <c r="CU162" s="554"/>
      <c r="CV162" s="554"/>
      <c r="CW162" s="554"/>
      <c r="CX162" s="554"/>
      <c r="CY162" s="554"/>
      <c r="CZ162" s="554"/>
      <c r="DA162" s="554"/>
      <c r="DB162" s="554"/>
      <c r="DC162" s="554"/>
      <c r="DD162" s="554"/>
      <c r="DE162" s="534"/>
      <c r="DF162" s="534"/>
      <c r="DG162" s="534"/>
    </row>
    <row r="163" spans="1:111" ht="15" x14ac:dyDescent="0.25">
      <c r="A163" s="549">
        <f>IFERROR(IF(INDEX('Weather Cases'!$E$10:$E$94,MATCH('Load Criteria'!X163,'Weather Cases'!$H$10:$H$94,0),1)=1,1,"-"),"-")</f>
        <v>1</v>
      </c>
      <c r="B163" s="555" t="s">
        <v>558</v>
      </c>
      <c r="C163" s="555" t="s">
        <v>559</v>
      </c>
      <c r="D163" s="555" t="s">
        <v>567</v>
      </c>
      <c r="E163" s="556" t="s">
        <v>22</v>
      </c>
      <c r="F163" s="556" t="s">
        <v>22</v>
      </c>
      <c r="G163" s="556" t="str">
        <f>IFERROR(IF(MID('Load Criteria'!X163,FIND("_",'Load Criteria'!X163,1)+1,1)=LEFT(Control!$D$23,1),"YES","-"),"-")</f>
        <v>-</v>
      </c>
      <c r="H163" s="549" t="str">
        <f>IF(INDEX('Weather Cases'!$G$10:$G$94,MATCH('Load Criteria'!X163,'Weather Cases'!$H$10:$H$94,0),1)="H","YES","")</f>
        <v>YES</v>
      </c>
      <c r="I163" s="557" t="s">
        <v>316</v>
      </c>
      <c r="J163" s="550">
        <v>50</v>
      </c>
      <c r="K163" s="508" t="s">
        <v>569</v>
      </c>
      <c r="L163" s="508" t="s">
        <v>24</v>
      </c>
      <c r="M163" s="508"/>
      <c r="N163" s="508"/>
      <c r="O163" s="508"/>
      <c r="P163" s="395"/>
      <c r="Q163" s="395"/>
      <c r="R163" s="395"/>
      <c r="S163" s="395"/>
      <c r="T163" s="395"/>
      <c r="U163" s="255" t="s">
        <v>574</v>
      </c>
      <c r="V163" s="551" t="s">
        <v>300</v>
      </c>
      <c r="W163" s="542" t="str">
        <f t="shared" si="51"/>
        <v>ES0050_8+LA NA-</v>
      </c>
      <c r="X163" s="552" t="str">
        <f>I163&amp;TEXT(J163,"0000")&amp;"_"&amp;LEFT(Control!$D$22,LEN(Control!$D$22)-2)</f>
        <v>ES0050_8</v>
      </c>
      <c r="Y163" s="552" t="s">
        <v>433</v>
      </c>
      <c r="Z163" s="552" t="str">
        <f t="shared" si="49"/>
        <v>NA-</v>
      </c>
      <c r="AA163" s="552"/>
      <c r="AB163" s="552">
        <v>1</v>
      </c>
      <c r="AC163" s="552">
        <v>1</v>
      </c>
      <c r="AD163" s="552">
        <v>1</v>
      </c>
      <c r="AE163" s="552">
        <v>1</v>
      </c>
      <c r="AF163" s="552">
        <v>1</v>
      </c>
      <c r="AG163" s="542" t="s">
        <v>561</v>
      </c>
      <c r="AH163" s="552">
        <v>0</v>
      </c>
      <c r="AI163" s="552">
        <v>0</v>
      </c>
      <c r="AJ163" s="552">
        <v>1</v>
      </c>
      <c r="AK163" s="552">
        <v>1</v>
      </c>
      <c r="AL163" s="552">
        <v>1</v>
      </c>
      <c r="AM163" s="552">
        <v>0</v>
      </c>
      <c r="AN163" s="552">
        <v>0</v>
      </c>
      <c r="AO163" s="552">
        <v>1</v>
      </c>
      <c r="AP163" s="552">
        <v>1</v>
      </c>
      <c r="AQ163" s="552">
        <v>1</v>
      </c>
      <c r="AR163" s="552">
        <v>1</v>
      </c>
      <c r="AS163" s="552">
        <v>1</v>
      </c>
      <c r="AT163" s="552">
        <v>1</v>
      </c>
      <c r="AU163" s="552">
        <v>1</v>
      </c>
      <c r="AV163" s="553" t="str">
        <f>IF(H163="YES","'"&amp;INDEX('Structure Groups'!$C$12:$C$14,MATCH('Load Criteria'!$B$5,'Structure Groups'!$B$12:$B$14,0),1)&amp;"'","'All'")</f>
        <v>'GL Max 800m'</v>
      </c>
      <c r="AW163" s="552" t="s">
        <v>562</v>
      </c>
      <c r="AX163" s="552"/>
      <c r="AY163" s="552" t="str">
        <f t="shared" si="50"/>
        <v>Yes</v>
      </c>
      <c r="AZ163" s="554" t="str">
        <f>IF($AY163="No","",IF($L163="A","Ahead Spans","Back Spans"))</f>
        <v>Ahead Spans</v>
      </c>
      <c r="BA163" s="554" t="str">
        <f>IF(AZ163="","","% Wire Ice")</f>
        <v>% Wire Ice</v>
      </c>
      <c r="BB163" s="552">
        <f>IF(AZ163="","",40)</f>
        <v>40</v>
      </c>
      <c r="BC163" s="554" t="str">
        <f>IF($AY163="No","",IF($L163="A","Back Spans","Ahead Spans"))</f>
        <v>Back Spans</v>
      </c>
      <c r="BD163" s="554" t="str">
        <f t="shared" ref="BD163:BD164" si="108">IF(BC163="","","% Wire Ice")</f>
        <v>% Wire Ice</v>
      </c>
      <c r="BE163" s="552">
        <f>IF(BB163="","",70)</f>
        <v>70</v>
      </c>
      <c r="BF163" s="554"/>
      <c r="BG163" s="554"/>
      <c r="BH163" s="554"/>
      <c r="BI163" s="554"/>
      <c r="BJ163" s="554"/>
      <c r="BK163" s="554"/>
      <c r="BL163" s="554"/>
      <c r="BM163" s="554"/>
      <c r="BN163" s="554"/>
      <c r="BO163" s="554"/>
      <c r="BP163" s="554"/>
      <c r="BQ163" s="554"/>
      <c r="BR163" s="554"/>
      <c r="BS163" s="554"/>
      <c r="BT163" s="554"/>
      <c r="BU163" s="554"/>
      <c r="BV163" s="554"/>
      <c r="BW163" s="554"/>
      <c r="BX163" s="554"/>
      <c r="BY163" s="554"/>
      <c r="BZ163" s="554"/>
      <c r="CA163" s="554"/>
      <c r="CB163" s="554"/>
      <c r="CC163" s="554"/>
      <c r="CD163" s="554"/>
      <c r="CE163" s="554"/>
      <c r="CF163" s="554"/>
      <c r="CG163" s="554"/>
      <c r="CH163" s="554"/>
      <c r="CI163" s="554"/>
      <c r="CJ163" s="554"/>
      <c r="CK163" s="554"/>
      <c r="CL163" s="554"/>
      <c r="CM163" s="554"/>
      <c r="CN163" s="554"/>
      <c r="CO163" s="554"/>
      <c r="CP163" s="554"/>
      <c r="CQ163" s="554"/>
      <c r="CR163" s="554"/>
      <c r="CS163" s="554"/>
      <c r="CT163" s="554"/>
      <c r="CU163" s="554"/>
      <c r="CV163" s="554"/>
      <c r="CW163" s="554"/>
      <c r="CX163" s="554"/>
      <c r="CY163" s="554"/>
      <c r="CZ163" s="554"/>
      <c r="DA163" s="554"/>
      <c r="DB163" s="554"/>
      <c r="DC163" s="554"/>
      <c r="DD163" s="554"/>
      <c r="DE163" s="534"/>
      <c r="DF163" s="534"/>
      <c r="DG163" s="534"/>
    </row>
    <row r="164" spans="1:111" ht="15" x14ac:dyDescent="0.25">
      <c r="A164" s="549">
        <f>IFERROR(IF(INDEX('Weather Cases'!$E$10:$E$94,MATCH('Load Criteria'!X164,'Weather Cases'!$H$10:$H$94,0),1)=1,1,"-"),"-")</f>
        <v>1</v>
      </c>
      <c r="B164" s="555" t="s">
        <v>558</v>
      </c>
      <c r="C164" s="555" t="s">
        <v>559</v>
      </c>
      <c r="D164" s="555" t="s">
        <v>567</v>
      </c>
      <c r="E164" s="556" t="s">
        <v>22</v>
      </c>
      <c r="F164" s="556" t="s">
        <v>22</v>
      </c>
      <c r="G164" s="556" t="str">
        <f>IFERROR(IF(MID('Load Criteria'!X164,FIND("_",'Load Criteria'!X164,1)+1,1)=LEFT(Control!$D$23,1),"YES","-"),"-")</f>
        <v>-</v>
      </c>
      <c r="H164" s="549" t="str">
        <f>IF(INDEX('Weather Cases'!$G$10:$G$94,MATCH('Load Criteria'!X164,'Weather Cases'!$H$10:$H$94,0),1)="H","YES","")</f>
        <v>YES</v>
      </c>
      <c r="I164" s="557" t="s">
        <v>316</v>
      </c>
      <c r="J164" s="550">
        <v>50</v>
      </c>
      <c r="K164" s="508" t="s">
        <v>569</v>
      </c>
      <c r="L164" s="508" t="s">
        <v>40</v>
      </c>
      <c r="M164" s="508"/>
      <c r="N164" s="508"/>
      <c r="O164" s="508"/>
      <c r="P164" s="395"/>
      <c r="Q164" s="395"/>
      <c r="R164" s="395"/>
      <c r="S164" s="395"/>
      <c r="T164" s="395"/>
      <c r="U164" s="255" t="s">
        <v>574</v>
      </c>
      <c r="V164" s="551" t="s">
        <v>300</v>
      </c>
      <c r="W164" s="542" t="str">
        <f t="shared" si="51"/>
        <v>ES0050_8+LB NA-</v>
      </c>
      <c r="X164" s="552" t="str">
        <f>I164&amp;TEXT(J164,"0000")&amp;"_"&amp;LEFT(Control!$D$22,LEN(Control!$D$22)-2)</f>
        <v>ES0050_8</v>
      </c>
      <c r="Y164" s="552" t="s">
        <v>433</v>
      </c>
      <c r="Z164" s="552" t="str">
        <f t="shared" si="49"/>
        <v>NA-</v>
      </c>
      <c r="AA164" s="552"/>
      <c r="AB164" s="552">
        <v>1</v>
      </c>
      <c r="AC164" s="552">
        <v>1</v>
      </c>
      <c r="AD164" s="552">
        <v>1</v>
      </c>
      <c r="AE164" s="552">
        <v>1</v>
      </c>
      <c r="AF164" s="552">
        <v>1</v>
      </c>
      <c r="AG164" s="542" t="s">
        <v>561</v>
      </c>
      <c r="AH164" s="552">
        <v>0</v>
      </c>
      <c r="AI164" s="552">
        <v>0</v>
      </c>
      <c r="AJ164" s="552">
        <v>1</v>
      </c>
      <c r="AK164" s="552">
        <v>1</v>
      </c>
      <c r="AL164" s="552">
        <v>1</v>
      </c>
      <c r="AM164" s="552">
        <v>0</v>
      </c>
      <c r="AN164" s="552">
        <v>0</v>
      </c>
      <c r="AO164" s="552">
        <v>1</v>
      </c>
      <c r="AP164" s="552">
        <v>1</v>
      </c>
      <c r="AQ164" s="552">
        <v>1</v>
      </c>
      <c r="AR164" s="552">
        <v>1</v>
      </c>
      <c r="AS164" s="552">
        <v>1</v>
      </c>
      <c r="AT164" s="552">
        <v>1</v>
      </c>
      <c r="AU164" s="552">
        <v>1</v>
      </c>
      <c r="AV164" s="553" t="str">
        <f>IF(H164="YES","'"&amp;INDEX('Structure Groups'!$C$12:$C$14,MATCH('Load Criteria'!$B$5,'Structure Groups'!$B$12:$B$14,0),1)&amp;"'","'All'")</f>
        <v>'GL Max 800m'</v>
      </c>
      <c r="AW164" s="552" t="s">
        <v>562</v>
      </c>
      <c r="AX164" s="552"/>
      <c r="AY164" s="552" t="str">
        <f t="shared" si="50"/>
        <v>Yes</v>
      </c>
      <c r="AZ164" s="554" t="str">
        <f>IF($AY164="No","",IF($L164="A","Ahead Spans","Back Spans"))</f>
        <v>Back Spans</v>
      </c>
      <c r="BA164" s="554" t="str">
        <f>IF(AZ164="","","% Wire Ice")</f>
        <v>% Wire Ice</v>
      </c>
      <c r="BB164" s="552">
        <f>IF(AZ164="","",40)</f>
        <v>40</v>
      </c>
      <c r="BC164" s="554" t="str">
        <f>IF($AY164="No","",IF($L164="A","Back Spans","Ahead Spans"))</f>
        <v>Ahead Spans</v>
      </c>
      <c r="BD164" s="554" t="str">
        <f t="shared" si="108"/>
        <v>% Wire Ice</v>
      </c>
      <c r="BE164" s="552">
        <f>IF(BB164="","",70)</f>
        <v>70</v>
      </c>
      <c r="BF164" s="554"/>
      <c r="BG164" s="554"/>
      <c r="BH164" s="554"/>
      <c r="BI164" s="554"/>
      <c r="BJ164" s="554"/>
      <c r="BK164" s="554"/>
      <c r="BL164" s="554"/>
      <c r="BM164" s="554"/>
      <c r="BN164" s="554"/>
      <c r="BO164" s="554"/>
      <c r="BP164" s="554"/>
      <c r="BQ164" s="554"/>
      <c r="BR164" s="554"/>
      <c r="BS164" s="554"/>
      <c r="BT164" s="554"/>
      <c r="BU164" s="554"/>
      <c r="BV164" s="554"/>
      <c r="BW164" s="554"/>
      <c r="BX164" s="554"/>
      <c r="BY164" s="554"/>
      <c r="BZ164" s="554"/>
      <c r="CA164" s="554"/>
      <c r="CB164" s="554"/>
      <c r="CC164" s="554"/>
      <c r="CD164" s="554"/>
      <c r="CE164" s="554"/>
      <c r="CF164" s="554"/>
      <c r="CG164" s="554"/>
      <c r="CH164" s="554"/>
      <c r="CI164" s="554"/>
      <c r="CJ164" s="554"/>
      <c r="CK164" s="554"/>
      <c r="CL164" s="554"/>
      <c r="CM164" s="554"/>
      <c r="CN164" s="554"/>
      <c r="CO164" s="554"/>
      <c r="CP164" s="554"/>
      <c r="CQ164" s="554"/>
      <c r="CR164" s="554"/>
      <c r="CS164" s="554"/>
      <c r="CT164" s="554"/>
      <c r="CU164" s="554"/>
      <c r="CV164" s="554"/>
      <c r="CW164" s="554"/>
      <c r="CX164" s="554"/>
      <c r="CY164" s="554"/>
      <c r="CZ164" s="554"/>
      <c r="DA164" s="554"/>
      <c r="DB164" s="554"/>
      <c r="DC164" s="554"/>
      <c r="DD164" s="554"/>
      <c r="DE164" s="534"/>
      <c r="DF164" s="534"/>
      <c r="DG164" s="534"/>
    </row>
    <row r="165" spans="1:111" ht="15" hidden="1" x14ac:dyDescent="0.25">
      <c r="A165" s="549">
        <f>IFERROR(IF(INDEX('Weather Cases'!$E$10:$E$94,MATCH('Load Criteria'!X165,'Weather Cases'!$H$10:$H$94,0),1)=1,1,"-"),"-")</f>
        <v>1</v>
      </c>
      <c r="B165" s="555" t="s">
        <v>558</v>
      </c>
      <c r="C165" s="555" t="s">
        <v>570</v>
      </c>
      <c r="D165" s="555" t="s">
        <v>567</v>
      </c>
      <c r="E165" s="556" t="s">
        <v>22</v>
      </c>
      <c r="F165" s="556" t="s">
        <v>22</v>
      </c>
      <c r="G165" s="556" t="str">
        <f>IFERROR(IF(MID('Load Criteria'!X165,FIND("_",'Load Criteria'!X165,1)+1,1)=LEFT(Control!$D$23,1),"YES","-"),"-")</f>
        <v>-</v>
      </c>
      <c r="H165" s="549" t="str">
        <f>IF(INDEX('Weather Cases'!$G$10:$G$94,MATCH('Load Criteria'!X165,'Weather Cases'!$H$10:$H$94,0),1)="H","YES","")</f>
        <v>YES</v>
      </c>
      <c r="I165" s="557" t="s">
        <v>316</v>
      </c>
      <c r="J165" s="550">
        <v>50</v>
      </c>
      <c r="K165" s="508" t="s">
        <v>571</v>
      </c>
      <c r="L165" s="508" t="s">
        <v>24</v>
      </c>
      <c r="M165" s="508">
        <v>1</v>
      </c>
      <c r="N165" s="508">
        <v>2</v>
      </c>
      <c r="O165" s="508"/>
      <c r="P165" s="395">
        <v>3</v>
      </c>
      <c r="Q165" s="395">
        <v>7</v>
      </c>
      <c r="R165" s="395">
        <v>8</v>
      </c>
      <c r="S165" s="395"/>
      <c r="T165" s="395"/>
      <c r="U165" s="255" t="s">
        <v>574</v>
      </c>
      <c r="V165" s="551" t="s">
        <v>300</v>
      </c>
      <c r="W165" s="542" t="str">
        <f t="shared" si="51"/>
        <v>ES0050_8+TA12 NA-</v>
      </c>
      <c r="X165" s="552" t="str">
        <f>I165&amp;TEXT(J165,"0000")&amp;"_"&amp;LEFT(Control!$D$22,LEN(Control!$D$22)-2)</f>
        <v>ES0050_8</v>
      </c>
      <c r="Y165" s="552" t="s">
        <v>433</v>
      </c>
      <c r="Z165" s="552" t="str">
        <f t="shared" si="49"/>
        <v>NA-</v>
      </c>
      <c r="AA165" s="552"/>
      <c r="AB165" s="552">
        <v>1</v>
      </c>
      <c r="AC165" s="552">
        <v>1</v>
      </c>
      <c r="AD165" s="552">
        <v>1</v>
      </c>
      <c r="AE165" s="552">
        <v>1</v>
      </c>
      <c r="AF165" s="552">
        <v>1</v>
      </c>
      <c r="AG165" s="542" t="s">
        <v>561</v>
      </c>
      <c r="AH165" s="552">
        <v>0</v>
      </c>
      <c r="AI165" s="552">
        <v>0</v>
      </c>
      <c r="AJ165" s="552">
        <v>1</v>
      </c>
      <c r="AK165" s="552">
        <v>1</v>
      </c>
      <c r="AL165" s="552">
        <v>1</v>
      </c>
      <c r="AM165" s="552">
        <v>0</v>
      </c>
      <c r="AN165" s="552">
        <v>0</v>
      </c>
      <c r="AO165" s="552">
        <v>1</v>
      </c>
      <c r="AP165" s="552">
        <v>1</v>
      </c>
      <c r="AQ165" s="552">
        <v>1</v>
      </c>
      <c r="AR165" s="552">
        <v>1</v>
      </c>
      <c r="AS165" s="552">
        <v>1</v>
      </c>
      <c r="AT165" s="552">
        <v>1</v>
      </c>
      <c r="AU165" s="552"/>
      <c r="AV165" s="553" t="str">
        <f>IF(H165="YES","'"&amp;INDEX('Structure Groups'!$C$12:$C$14,MATCH('Load Criteria'!$B$5,'Structure Groups'!$B$12:$B$14,0),1)&amp;"'","'All'")</f>
        <v>'GL Max 800m'</v>
      </c>
      <c r="AW165" s="552" t="s">
        <v>562</v>
      </c>
      <c r="AX165" s="552"/>
      <c r="AY165" s="552" t="str">
        <f t="shared" si="50"/>
        <v>Yes</v>
      </c>
      <c r="AZ165" s="389" t="str">
        <f>$M165&amp;":1:"&amp;IF($L165="A","Ahead","Back")</f>
        <v>1:1:Ahead</v>
      </c>
      <c r="BA165" s="554" t="s">
        <v>572</v>
      </c>
      <c r="BB165" s="391">
        <v>40</v>
      </c>
      <c r="BC165" s="579" t="str">
        <f t="shared" ref="BC165:BC172" si="109">$M165+10&amp;":1:"&amp;"Ahead"</f>
        <v>11:1:Ahead</v>
      </c>
      <c r="BD165" s="554" t="s">
        <v>572</v>
      </c>
      <c r="BE165" s="580">
        <f t="shared" ref="BE165" si="110">IF($L165="A",40,70)</f>
        <v>40</v>
      </c>
      <c r="BF165" s="389" t="str">
        <f t="shared" ref="BF165:BF172" si="111">$M165&amp;":1:"&amp;IF($L165="A","Back","Ahead")</f>
        <v>1:1:Back</v>
      </c>
      <c r="BG165" s="554" t="str">
        <f t="shared" ref="BG165:BG172" si="112">IF(BF165="","","% Wire Ice")</f>
        <v>% Wire Ice</v>
      </c>
      <c r="BH165" s="391">
        <v>70</v>
      </c>
      <c r="BI165" s="389" t="str">
        <f t="shared" ref="BI165:BI172" si="113">$N165&amp;":1:"&amp;IF($L165="A","Ahead","Back")</f>
        <v>2:1:Ahead</v>
      </c>
      <c r="BJ165" s="554" t="s">
        <v>572</v>
      </c>
      <c r="BK165" s="391">
        <v>40</v>
      </c>
      <c r="BL165" s="579" t="str">
        <f t="shared" ref="BL165" si="114">$N165+10&amp;":1:"&amp;"Ahead"</f>
        <v>12:1:Ahead</v>
      </c>
      <c r="BM165" s="554" t="s">
        <v>572</v>
      </c>
      <c r="BN165" s="580">
        <f t="shared" ref="BN165" si="115">IF($L165="A",40,70)</f>
        <v>40</v>
      </c>
      <c r="BO165" s="389" t="str">
        <f t="shared" ref="BO165:BO172" si="116">$N165&amp;":1:"&amp;IF($L165="A","Back","Ahead")</f>
        <v>2:1:Back</v>
      </c>
      <c r="BP165" s="554" t="str">
        <f t="shared" ref="BP165:BP172" si="117">IF(BO165="","","% Wire Ice")</f>
        <v>% Wire Ice</v>
      </c>
      <c r="BQ165" s="391">
        <v>70</v>
      </c>
      <c r="BR165" s="389" t="str">
        <f t="shared" ref="BR165:BR172" si="118">IF($O165="","",$O165&amp;":1:"&amp;IF($L165="A","Ahead","Back"))</f>
        <v/>
      </c>
      <c r="BS165" s="554" t="str">
        <f t="shared" ref="BS165:BS172" si="119">IF($O165="","","% Wire Ice")</f>
        <v/>
      </c>
      <c r="BT165" s="391" t="str">
        <f t="shared" ref="BT165:BT172" si="120">IF($O165="","",40)</f>
        <v/>
      </c>
      <c r="BU165" s="389" t="str">
        <f t="shared" ref="BU165:BU168" si="121">IF($O165="","",$O165+10&amp;":1:"&amp;IF($L165="A","Ahead","Back"))</f>
        <v/>
      </c>
      <c r="BV165" s="554" t="str">
        <f t="shared" ref="BV165:BV172" si="122">IF($O165="","","% Wire Ice")</f>
        <v/>
      </c>
      <c r="BW165" s="391" t="str">
        <f t="shared" ref="BW165:BW168" si="123">IF($O165="","",40)</f>
        <v/>
      </c>
      <c r="BX165" s="389" t="str">
        <f t="shared" ref="BX165:BX172" si="124">IF($O165="","",$O165&amp;":1:"&amp;IF($L165="A","Back","Ahead"))</f>
        <v/>
      </c>
      <c r="BY165" s="554" t="str">
        <f t="shared" ref="BY165:BY172" si="125">IF($O165="","","% Wire Ice")</f>
        <v/>
      </c>
      <c r="BZ165" s="391" t="str">
        <f t="shared" ref="BZ165:BZ172" si="126">IF($O165="","",70)</f>
        <v/>
      </c>
      <c r="CA165" s="389" t="str">
        <f t="shared" ref="CA165:CA172" si="127">IF($P165="","",$P165&amp;":1:Back+Ahead")</f>
        <v>3:1:Back+Ahead</v>
      </c>
      <c r="CB165" s="554" t="str">
        <f t="shared" ref="CB165:CB172" si="128">IF($P165="","","% Wire Ice")</f>
        <v>% Wire Ice</v>
      </c>
      <c r="CC165" s="391">
        <f t="shared" ref="CC165:CC172" si="129">IF($P165="","",70)</f>
        <v>70</v>
      </c>
      <c r="CD165" s="389" t="str">
        <f t="shared" ref="CD165:CD172" si="130">IF($P165="","",$P165+10&amp;":1:Ahead")</f>
        <v>13:1:Ahead</v>
      </c>
      <c r="CE165" s="554" t="str">
        <f t="shared" ref="CE165:CE172" si="131">IF($P165="","","% Wire Ice")</f>
        <v>% Wire Ice</v>
      </c>
      <c r="CF165" s="391">
        <f t="shared" ref="CF165:CF172" si="132">IF($P165="","",70)</f>
        <v>70</v>
      </c>
      <c r="CG165" s="389" t="str">
        <f t="shared" ref="CG165:CG172" si="133">IF($Q165="","",$Q165&amp;":1:Back+Ahead")</f>
        <v>7:1:Back+Ahead</v>
      </c>
      <c r="CH165" s="554" t="str">
        <f t="shared" ref="CH165:CH172" si="134">IF($Q165="","","% Wire Ice")</f>
        <v>% Wire Ice</v>
      </c>
      <c r="CI165" s="391">
        <f t="shared" ref="CI165:CI172" si="135">IF($Q165="","",70)</f>
        <v>70</v>
      </c>
      <c r="CJ165" s="389" t="str">
        <f t="shared" ref="CJ165:CJ172" si="136">IF($Q165="","",$Q165+10&amp;":1:Ahead")</f>
        <v>17:1:Ahead</v>
      </c>
      <c r="CK165" s="554" t="str">
        <f t="shared" ref="CK165:CK172" si="137">IF($Q165="","","% Wire Ice")</f>
        <v>% Wire Ice</v>
      </c>
      <c r="CL165" s="391">
        <f t="shared" ref="CL165:CL172" si="138">IF($Q165="","",70)</f>
        <v>70</v>
      </c>
      <c r="CM165" s="389" t="str">
        <f t="shared" ref="CM165:CM172" si="139">IF($R165="","",$R165&amp;":1:Back+Ahead")</f>
        <v>8:1:Back+Ahead</v>
      </c>
      <c r="CN165" s="554" t="str">
        <f t="shared" ref="CN165:CN172" si="140">IF($R165="","","% Wire Ice")</f>
        <v>% Wire Ice</v>
      </c>
      <c r="CO165" s="391">
        <f t="shared" ref="CO165:CO172" si="141">IF($R165="","",70)</f>
        <v>70</v>
      </c>
      <c r="CP165" s="554" t="str">
        <f t="shared" ref="CP165:CP172" si="142">IF($R165="","",$R165+10&amp;":1:Ahead")</f>
        <v>18:1:Ahead</v>
      </c>
      <c r="CQ165" s="554" t="str">
        <f t="shared" ref="CQ165:CQ172" si="143">IF($R165="","","% Wire Ice")</f>
        <v>% Wire Ice</v>
      </c>
      <c r="CR165" s="554">
        <f t="shared" ref="CR165:CR172" si="144">IF($R165="","",70)</f>
        <v>70</v>
      </c>
      <c r="CS165" s="554" t="str">
        <f t="shared" ref="CS165:CS172" si="145">IF($S165="","",$S165&amp;":1:Back+Ahead")</f>
        <v/>
      </c>
      <c r="CT165" s="554" t="str">
        <f t="shared" ref="CT165:CT172" si="146">IF($S165="","","% Wire Ice")</f>
        <v/>
      </c>
      <c r="CU165" s="554" t="str">
        <f t="shared" ref="CU165:CU172" si="147">IF($S165="","",70)</f>
        <v/>
      </c>
      <c r="CV165" s="554" t="str">
        <f t="shared" ref="CV165:CV172" si="148">IF($S165="","",$S165+10&amp;":1:Ahead")</f>
        <v/>
      </c>
      <c r="CW165" s="554" t="str">
        <f t="shared" ref="CW165:CW172" si="149">IF($S165="","","% Wire Ice")</f>
        <v/>
      </c>
      <c r="CX165" s="554" t="str">
        <f t="shared" ref="CX165:CX172" si="150">IF($S165="","",70)</f>
        <v/>
      </c>
      <c r="CY165" s="554" t="str">
        <f t="shared" ref="CY165:CY172" si="151">IF($T165="","",$T165&amp;":1:Back+Ahead")</f>
        <v/>
      </c>
      <c r="CZ165" s="554" t="str">
        <f t="shared" ref="CZ165:CZ172" si="152">IF($T165="","","% Wire Ice")</f>
        <v/>
      </c>
      <c r="DA165" s="554" t="str">
        <f t="shared" ref="DA165:DA172" si="153">IF($T165="","",70)</f>
        <v/>
      </c>
      <c r="DB165" s="554" t="str">
        <f t="shared" ref="DB165:DB172" si="154">IF($T165="","",$T165+10&amp;":1:Ahead")</f>
        <v/>
      </c>
      <c r="DC165" s="554" t="str">
        <f t="shared" ref="DC165:DC172" si="155">IF($T165="","","% Wire Ice")</f>
        <v/>
      </c>
      <c r="DD165" s="554" t="str">
        <f t="shared" ref="DD165:DD172" si="156">IF($T165="","",70)</f>
        <v/>
      </c>
      <c r="DE165" s="534"/>
      <c r="DF165" s="534"/>
      <c r="DG165" s="534"/>
    </row>
    <row r="166" spans="1:111" ht="15" hidden="1" x14ac:dyDescent="0.25">
      <c r="A166" s="549">
        <f>IFERROR(IF(INDEX('Weather Cases'!$E$10:$E$94,MATCH('Load Criteria'!X166,'Weather Cases'!$H$10:$H$94,0),1)=1,1,"-"),"-")</f>
        <v>1</v>
      </c>
      <c r="B166" s="555" t="s">
        <v>558</v>
      </c>
      <c r="C166" s="555" t="s">
        <v>570</v>
      </c>
      <c r="D166" s="555" t="s">
        <v>567</v>
      </c>
      <c r="E166" s="556" t="s">
        <v>22</v>
      </c>
      <c r="F166" s="556" t="s">
        <v>22</v>
      </c>
      <c r="G166" s="556" t="str">
        <f>IFERROR(IF(MID('Load Criteria'!X166,FIND("_",'Load Criteria'!X166,1)+1,1)=LEFT(Control!$D$23,1),"YES","-"),"-")</f>
        <v>-</v>
      </c>
      <c r="H166" s="549" t="str">
        <f>IF(INDEX('Weather Cases'!$G$10:$G$94,MATCH('Load Criteria'!X166,'Weather Cases'!$H$10:$H$94,0),1)="H","YES","")</f>
        <v>YES</v>
      </c>
      <c r="I166" s="557" t="s">
        <v>316</v>
      </c>
      <c r="J166" s="550">
        <v>50</v>
      </c>
      <c r="K166" s="508" t="s">
        <v>571</v>
      </c>
      <c r="L166" s="508" t="s">
        <v>40</v>
      </c>
      <c r="M166" s="508">
        <v>1</v>
      </c>
      <c r="N166" s="508">
        <v>2</v>
      </c>
      <c r="O166" s="508"/>
      <c r="P166" s="395">
        <v>3</v>
      </c>
      <c r="Q166" s="395">
        <v>7</v>
      </c>
      <c r="R166" s="395">
        <v>8</v>
      </c>
      <c r="S166" s="395"/>
      <c r="T166" s="395"/>
      <c r="U166" s="255" t="s">
        <v>574</v>
      </c>
      <c r="V166" s="551" t="s">
        <v>300</v>
      </c>
      <c r="W166" s="542" t="str">
        <f t="shared" si="51"/>
        <v>ES0050_8+TB12 NA-</v>
      </c>
      <c r="X166" s="552" t="str">
        <f>I166&amp;TEXT(J166,"0000")&amp;"_"&amp;LEFT(Control!$D$22,LEN(Control!$D$22)-2)</f>
        <v>ES0050_8</v>
      </c>
      <c r="Y166" s="552" t="s">
        <v>433</v>
      </c>
      <c r="Z166" s="552" t="str">
        <f t="shared" si="49"/>
        <v>NA-</v>
      </c>
      <c r="AA166" s="552"/>
      <c r="AB166" s="552">
        <v>1</v>
      </c>
      <c r="AC166" s="552">
        <v>1</v>
      </c>
      <c r="AD166" s="552">
        <v>1</v>
      </c>
      <c r="AE166" s="552">
        <v>1</v>
      </c>
      <c r="AF166" s="552">
        <v>1</v>
      </c>
      <c r="AG166" s="542" t="s">
        <v>561</v>
      </c>
      <c r="AH166" s="552">
        <v>0</v>
      </c>
      <c r="AI166" s="552">
        <v>0</v>
      </c>
      <c r="AJ166" s="552">
        <v>1</v>
      </c>
      <c r="AK166" s="552">
        <v>1</v>
      </c>
      <c r="AL166" s="552">
        <v>1</v>
      </c>
      <c r="AM166" s="552">
        <v>0</v>
      </c>
      <c r="AN166" s="552">
        <v>0</v>
      </c>
      <c r="AO166" s="552">
        <v>1</v>
      </c>
      <c r="AP166" s="552">
        <v>1</v>
      </c>
      <c r="AQ166" s="552">
        <v>1</v>
      </c>
      <c r="AR166" s="552">
        <v>1</v>
      </c>
      <c r="AS166" s="552">
        <v>1</v>
      </c>
      <c r="AT166" s="552">
        <v>1</v>
      </c>
      <c r="AU166" s="552"/>
      <c r="AV166" s="553" t="str">
        <f>IF(H166="YES","'"&amp;INDEX('Structure Groups'!$C$12:$C$14,MATCH('Load Criteria'!$B$5,'Structure Groups'!$B$12:$B$14,0),1)&amp;"'","'All'")</f>
        <v>'GL Max 800m'</v>
      </c>
      <c r="AW166" s="552" t="s">
        <v>562</v>
      </c>
      <c r="AX166" s="552"/>
      <c r="AY166" s="552" t="str">
        <f t="shared" si="50"/>
        <v>Yes</v>
      </c>
      <c r="AZ166" s="389" t="str">
        <f t="shared" ref="AZ166:AZ172" si="157">$M166&amp;":1:"&amp;IF($L166="A","Ahead","Back")</f>
        <v>1:1:Back</v>
      </c>
      <c r="BA166" s="554" t="s">
        <v>572</v>
      </c>
      <c r="BB166" s="391">
        <v>40</v>
      </c>
      <c r="BC166" s="579" t="str">
        <f>$M166+10&amp;":1:"&amp;"Ahead"</f>
        <v>11:1:Ahead</v>
      </c>
      <c r="BD166" s="554" t="s">
        <v>572</v>
      </c>
      <c r="BE166" s="580">
        <f>IF($L166="A",40,70)</f>
        <v>70</v>
      </c>
      <c r="BF166" s="389" t="str">
        <f t="shared" si="111"/>
        <v>1:1:Ahead</v>
      </c>
      <c r="BG166" s="554" t="str">
        <f t="shared" si="112"/>
        <v>% Wire Ice</v>
      </c>
      <c r="BH166" s="391">
        <v>70</v>
      </c>
      <c r="BI166" s="389" t="str">
        <f t="shared" si="113"/>
        <v>2:1:Back</v>
      </c>
      <c r="BJ166" s="554" t="s">
        <v>572</v>
      </c>
      <c r="BK166" s="391">
        <v>40</v>
      </c>
      <c r="BL166" s="579" t="str">
        <f>$N166+10&amp;":1:"&amp;"Ahead"</f>
        <v>12:1:Ahead</v>
      </c>
      <c r="BM166" s="554" t="s">
        <v>572</v>
      </c>
      <c r="BN166" s="580">
        <f>IF($L166="A",40,70)</f>
        <v>70</v>
      </c>
      <c r="BO166" s="389" t="str">
        <f t="shared" si="116"/>
        <v>2:1:Ahead</v>
      </c>
      <c r="BP166" s="554" t="str">
        <f t="shared" si="117"/>
        <v>% Wire Ice</v>
      </c>
      <c r="BQ166" s="391">
        <v>70</v>
      </c>
      <c r="BR166" s="389" t="str">
        <f t="shared" si="118"/>
        <v/>
      </c>
      <c r="BS166" s="554" t="str">
        <f t="shared" si="119"/>
        <v/>
      </c>
      <c r="BT166" s="391" t="str">
        <f t="shared" si="120"/>
        <v/>
      </c>
      <c r="BU166" s="389" t="str">
        <f t="shared" si="121"/>
        <v/>
      </c>
      <c r="BV166" s="554" t="str">
        <f t="shared" si="122"/>
        <v/>
      </c>
      <c r="BW166" s="391" t="str">
        <f t="shared" si="123"/>
        <v/>
      </c>
      <c r="BX166" s="389" t="str">
        <f t="shared" si="124"/>
        <v/>
      </c>
      <c r="BY166" s="554" t="str">
        <f t="shared" si="125"/>
        <v/>
      </c>
      <c r="BZ166" s="391" t="str">
        <f t="shared" si="126"/>
        <v/>
      </c>
      <c r="CA166" s="389" t="str">
        <f t="shared" si="127"/>
        <v>3:1:Back+Ahead</v>
      </c>
      <c r="CB166" s="554" t="str">
        <f t="shared" si="128"/>
        <v>% Wire Ice</v>
      </c>
      <c r="CC166" s="391">
        <f t="shared" si="129"/>
        <v>70</v>
      </c>
      <c r="CD166" s="389" t="str">
        <f t="shared" si="130"/>
        <v>13:1:Ahead</v>
      </c>
      <c r="CE166" s="554" t="str">
        <f t="shared" si="131"/>
        <v>% Wire Ice</v>
      </c>
      <c r="CF166" s="391">
        <f t="shared" si="132"/>
        <v>70</v>
      </c>
      <c r="CG166" s="389" t="str">
        <f t="shared" si="133"/>
        <v>7:1:Back+Ahead</v>
      </c>
      <c r="CH166" s="554" t="str">
        <f t="shared" si="134"/>
        <v>% Wire Ice</v>
      </c>
      <c r="CI166" s="391">
        <f t="shared" si="135"/>
        <v>70</v>
      </c>
      <c r="CJ166" s="389" t="str">
        <f t="shared" si="136"/>
        <v>17:1:Ahead</v>
      </c>
      <c r="CK166" s="554" t="str">
        <f t="shared" si="137"/>
        <v>% Wire Ice</v>
      </c>
      <c r="CL166" s="391">
        <f t="shared" si="138"/>
        <v>70</v>
      </c>
      <c r="CM166" s="389" t="str">
        <f t="shared" si="139"/>
        <v>8:1:Back+Ahead</v>
      </c>
      <c r="CN166" s="554" t="str">
        <f t="shared" si="140"/>
        <v>% Wire Ice</v>
      </c>
      <c r="CO166" s="391">
        <f t="shared" si="141"/>
        <v>70</v>
      </c>
      <c r="CP166" s="554" t="str">
        <f t="shared" si="142"/>
        <v>18:1:Ahead</v>
      </c>
      <c r="CQ166" s="554" t="str">
        <f t="shared" si="143"/>
        <v>% Wire Ice</v>
      </c>
      <c r="CR166" s="554">
        <f t="shared" si="144"/>
        <v>70</v>
      </c>
      <c r="CS166" s="554" t="str">
        <f t="shared" si="145"/>
        <v/>
      </c>
      <c r="CT166" s="554" t="str">
        <f t="shared" si="146"/>
        <v/>
      </c>
      <c r="CU166" s="554" t="str">
        <f t="shared" si="147"/>
        <v/>
      </c>
      <c r="CV166" s="554" t="str">
        <f t="shared" si="148"/>
        <v/>
      </c>
      <c r="CW166" s="554" t="str">
        <f t="shared" si="149"/>
        <v/>
      </c>
      <c r="CX166" s="554" t="str">
        <f t="shared" si="150"/>
        <v/>
      </c>
      <c r="CY166" s="554" t="str">
        <f t="shared" si="151"/>
        <v/>
      </c>
      <c r="CZ166" s="554" t="str">
        <f t="shared" si="152"/>
        <v/>
      </c>
      <c r="DA166" s="554" t="str">
        <f t="shared" si="153"/>
        <v/>
      </c>
      <c r="DB166" s="554" t="str">
        <f t="shared" si="154"/>
        <v/>
      </c>
      <c r="DC166" s="554" t="str">
        <f t="shared" si="155"/>
        <v/>
      </c>
      <c r="DD166" s="554" t="str">
        <f t="shared" si="156"/>
        <v/>
      </c>
      <c r="DE166" s="534"/>
      <c r="DF166" s="534"/>
      <c r="DG166" s="534"/>
    </row>
    <row r="167" spans="1:111" ht="15" hidden="1" x14ac:dyDescent="0.25">
      <c r="A167" s="549">
        <f>IFERROR(IF(INDEX('Weather Cases'!$E$10:$E$94,MATCH('Load Criteria'!X167,'Weather Cases'!$H$10:$H$94,0),1)=1,1,"-"),"-")</f>
        <v>1</v>
      </c>
      <c r="B167" s="555" t="s">
        <v>558</v>
      </c>
      <c r="C167" s="555" t="s">
        <v>570</v>
      </c>
      <c r="D167" s="555" t="s">
        <v>567</v>
      </c>
      <c r="E167" s="556" t="s">
        <v>22</v>
      </c>
      <c r="F167" s="556" t="s">
        <v>22</v>
      </c>
      <c r="G167" s="556" t="str">
        <f>IFERROR(IF(MID('Load Criteria'!X167,FIND("_",'Load Criteria'!X167,1)+1,1)=LEFT(Control!$D$23,1),"YES","-"),"-")</f>
        <v>-</v>
      </c>
      <c r="H167" s="549" t="str">
        <f>IF(INDEX('Weather Cases'!$G$10:$G$94,MATCH('Load Criteria'!X167,'Weather Cases'!$H$10:$H$94,0),1)="H","YES","")</f>
        <v>YES</v>
      </c>
      <c r="I167" s="557" t="s">
        <v>316</v>
      </c>
      <c r="J167" s="550">
        <v>50</v>
      </c>
      <c r="K167" s="508" t="s">
        <v>571</v>
      </c>
      <c r="L167" s="508" t="s">
        <v>24</v>
      </c>
      <c r="M167" s="508">
        <v>2</v>
      </c>
      <c r="N167" s="508">
        <v>3</v>
      </c>
      <c r="O167" s="508"/>
      <c r="P167" s="395">
        <v>1</v>
      </c>
      <c r="Q167" s="395">
        <v>7</v>
      </c>
      <c r="R167" s="395">
        <v>8</v>
      </c>
      <c r="S167" s="395"/>
      <c r="T167" s="395"/>
      <c r="U167" s="255" t="s">
        <v>574</v>
      </c>
      <c r="V167" s="551" t="s">
        <v>300</v>
      </c>
      <c r="W167" s="542" t="str">
        <f t="shared" si="51"/>
        <v>ES0050_8+TA23 NA-</v>
      </c>
      <c r="X167" s="552" t="str">
        <f>I167&amp;TEXT(J167,"0000")&amp;"_"&amp;LEFT(Control!$D$22,LEN(Control!$D$22)-2)</f>
        <v>ES0050_8</v>
      </c>
      <c r="Y167" s="552" t="s">
        <v>433</v>
      </c>
      <c r="Z167" s="552" t="str">
        <f t="shared" ref="Z167:Z172" si="158">U167</f>
        <v>NA-</v>
      </c>
      <c r="AA167" s="552"/>
      <c r="AB167" s="552">
        <v>1</v>
      </c>
      <c r="AC167" s="552">
        <v>1</v>
      </c>
      <c r="AD167" s="552">
        <v>1</v>
      </c>
      <c r="AE167" s="552">
        <v>1</v>
      </c>
      <c r="AF167" s="552">
        <v>1</v>
      </c>
      <c r="AG167" s="542" t="s">
        <v>561</v>
      </c>
      <c r="AH167" s="552">
        <v>0</v>
      </c>
      <c r="AI167" s="552">
        <v>0</v>
      </c>
      <c r="AJ167" s="552">
        <v>1</v>
      </c>
      <c r="AK167" s="552">
        <v>1</v>
      </c>
      <c r="AL167" s="552">
        <v>1</v>
      </c>
      <c r="AM167" s="552">
        <v>0</v>
      </c>
      <c r="AN167" s="552">
        <v>0</v>
      </c>
      <c r="AO167" s="552">
        <v>1</v>
      </c>
      <c r="AP167" s="552">
        <v>1</v>
      </c>
      <c r="AQ167" s="552">
        <v>1</v>
      </c>
      <c r="AR167" s="552">
        <v>1</v>
      </c>
      <c r="AS167" s="552">
        <v>1</v>
      </c>
      <c r="AT167" s="552">
        <v>1</v>
      </c>
      <c r="AU167" s="552"/>
      <c r="AV167" s="553" t="str">
        <f>IF(H167="YES","'"&amp;INDEX('Structure Groups'!$C$12:$C$14,MATCH('Load Criteria'!$B$5,'Structure Groups'!$B$12:$B$14,0),1)&amp;"'","'All'")</f>
        <v>'GL Max 800m'</v>
      </c>
      <c r="AW167" s="552" t="s">
        <v>562</v>
      </c>
      <c r="AX167" s="552"/>
      <c r="AY167" s="552" t="str">
        <f t="shared" si="50"/>
        <v>Yes</v>
      </c>
      <c r="AZ167" s="389" t="str">
        <f t="shared" si="157"/>
        <v>2:1:Ahead</v>
      </c>
      <c r="BA167" s="554" t="s">
        <v>572</v>
      </c>
      <c r="BB167" s="391">
        <v>40</v>
      </c>
      <c r="BC167" s="579" t="str">
        <f t="shared" ref="BC167:BC168" si="159">$M167+10&amp;":1:"&amp;"Ahead"</f>
        <v>12:1:Ahead</v>
      </c>
      <c r="BD167" s="554" t="s">
        <v>572</v>
      </c>
      <c r="BE167" s="580">
        <f t="shared" ref="BE167:BE172" si="160">IF($L167="A",40,70)</f>
        <v>40</v>
      </c>
      <c r="BF167" s="389" t="str">
        <f t="shared" si="111"/>
        <v>2:1:Back</v>
      </c>
      <c r="BG167" s="554" t="str">
        <f t="shared" si="112"/>
        <v>% Wire Ice</v>
      </c>
      <c r="BH167" s="391">
        <v>70</v>
      </c>
      <c r="BI167" s="389" t="str">
        <f t="shared" si="113"/>
        <v>3:1:Ahead</v>
      </c>
      <c r="BJ167" s="554" t="s">
        <v>572</v>
      </c>
      <c r="BK167" s="391">
        <v>40</v>
      </c>
      <c r="BL167" s="579" t="str">
        <f t="shared" ref="BL167:BL168" si="161">$N167+10&amp;":1:"&amp;"Ahead"</f>
        <v>13:1:Ahead</v>
      </c>
      <c r="BM167" s="554" t="s">
        <v>572</v>
      </c>
      <c r="BN167" s="580">
        <f t="shared" ref="BN167:BN172" si="162">IF($L167="A",40,70)</f>
        <v>40</v>
      </c>
      <c r="BO167" s="389" t="str">
        <f t="shared" si="116"/>
        <v>3:1:Back</v>
      </c>
      <c r="BP167" s="554" t="str">
        <f t="shared" si="117"/>
        <v>% Wire Ice</v>
      </c>
      <c r="BQ167" s="391">
        <v>70</v>
      </c>
      <c r="BR167" s="389" t="str">
        <f t="shared" si="118"/>
        <v/>
      </c>
      <c r="BS167" s="554" t="str">
        <f t="shared" si="119"/>
        <v/>
      </c>
      <c r="BT167" s="391" t="str">
        <f t="shared" si="120"/>
        <v/>
      </c>
      <c r="BU167" s="389" t="str">
        <f t="shared" si="121"/>
        <v/>
      </c>
      <c r="BV167" s="554" t="str">
        <f t="shared" si="122"/>
        <v/>
      </c>
      <c r="BW167" s="391" t="str">
        <f t="shared" si="123"/>
        <v/>
      </c>
      <c r="BX167" s="389" t="str">
        <f t="shared" si="124"/>
        <v/>
      </c>
      <c r="BY167" s="554" t="str">
        <f t="shared" si="125"/>
        <v/>
      </c>
      <c r="BZ167" s="391" t="str">
        <f t="shared" si="126"/>
        <v/>
      </c>
      <c r="CA167" s="389" t="str">
        <f t="shared" si="127"/>
        <v>1:1:Back+Ahead</v>
      </c>
      <c r="CB167" s="554" t="str">
        <f t="shared" si="128"/>
        <v>% Wire Ice</v>
      </c>
      <c r="CC167" s="391">
        <f t="shared" si="129"/>
        <v>70</v>
      </c>
      <c r="CD167" s="389" t="str">
        <f t="shared" si="130"/>
        <v>11:1:Ahead</v>
      </c>
      <c r="CE167" s="554" t="str">
        <f t="shared" si="131"/>
        <v>% Wire Ice</v>
      </c>
      <c r="CF167" s="391">
        <f t="shared" si="132"/>
        <v>70</v>
      </c>
      <c r="CG167" s="389" t="str">
        <f t="shared" si="133"/>
        <v>7:1:Back+Ahead</v>
      </c>
      <c r="CH167" s="554" t="str">
        <f t="shared" si="134"/>
        <v>% Wire Ice</v>
      </c>
      <c r="CI167" s="391">
        <f t="shared" si="135"/>
        <v>70</v>
      </c>
      <c r="CJ167" s="389" t="str">
        <f t="shared" si="136"/>
        <v>17:1:Ahead</v>
      </c>
      <c r="CK167" s="554" t="str">
        <f t="shared" si="137"/>
        <v>% Wire Ice</v>
      </c>
      <c r="CL167" s="391">
        <f t="shared" si="138"/>
        <v>70</v>
      </c>
      <c r="CM167" s="389" t="str">
        <f t="shared" si="139"/>
        <v>8:1:Back+Ahead</v>
      </c>
      <c r="CN167" s="554" t="str">
        <f t="shared" si="140"/>
        <v>% Wire Ice</v>
      </c>
      <c r="CO167" s="391">
        <f t="shared" si="141"/>
        <v>70</v>
      </c>
      <c r="CP167" s="554" t="str">
        <f t="shared" si="142"/>
        <v>18:1:Ahead</v>
      </c>
      <c r="CQ167" s="554" t="str">
        <f t="shared" si="143"/>
        <v>% Wire Ice</v>
      </c>
      <c r="CR167" s="554">
        <f t="shared" si="144"/>
        <v>70</v>
      </c>
      <c r="CS167" s="554" t="str">
        <f t="shared" si="145"/>
        <v/>
      </c>
      <c r="CT167" s="554" t="str">
        <f t="shared" si="146"/>
        <v/>
      </c>
      <c r="CU167" s="554" t="str">
        <f t="shared" si="147"/>
        <v/>
      </c>
      <c r="CV167" s="554" t="str">
        <f t="shared" si="148"/>
        <v/>
      </c>
      <c r="CW167" s="554" t="str">
        <f t="shared" si="149"/>
        <v/>
      </c>
      <c r="CX167" s="554" t="str">
        <f t="shared" si="150"/>
        <v/>
      </c>
      <c r="CY167" s="554" t="str">
        <f t="shared" si="151"/>
        <v/>
      </c>
      <c r="CZ167" s="554" t="str">
        <f t="shared" si="152"/>
        <v/>
      </c>
      <c r="DA167" s="554" t="str">
        <f t="shared" si="153"/>
        <v/>
      </c>
      <c r="DB167" s="554" t="str">
        <f t="shared" si="154"/>
        <v/>
      </c>
      <c r="DC167" s="554" t="str">
        <f t="shared" si="155"/>
        <v/>
      </c>
      <c r="DD167" s="554" t="str">
        <f t="shared" si="156"/>
        <v/>
      </c>
      <c r="DE167" s="534"/>
      <c r="DF167" s="534"/>
      <c r="DG167" s="534"/>
    </row>
    <row r="168" spans="1:111" ht="15" hidden="1" x14ac:dyDescent="0.25">
      <c r="A168" s="549">
        <f>IFERROR(IF(INDEX('Weather Cases'!$E$10:$E$94,MATCH('Load Criteria'!X168,'Weather Cases'!$H$10:$H$94,0),1)=1,1,"-"),"-")</f>
        <v>1</v>
      </c>
      <c r="B168" s="555" t="s">
        <v>558</v>
      </c>
      <c r="C168" s="555" t="s">
        <v>570</v>
      </c>
      <c r="D168" s="555" t="s">
        <v>567</v>
      </c>
      <c r="E168" s="556" t="s">
        <v>22</v>
      </c>
      <c r="F168" s="556" t="s">
        <v>22</v>
      </c>
      <c r="G168" s="556" t="str">
        <f>IFERROR(IF(MID('Load Criteria'!X168,FIND("_",'Load Criteria'!X168,1)+1,1)=LEFT(Control!$D$23,1),"YES","-"),"-")</f>
        <v>-</v>
      </c>
      <c r="H168" s="549" t="str">
        <f>IF(INDEX('Weather Cases'!$G$10:$G$94,MATCH('Load Criteria'!X168,'Weather Cases'!$H$10:$H$94,0),1)="H","YES","")</f>
        <v>YES</v>
      </c>
      <c r="I168" s="557" t="s">
        <v>316</v>
      </c>
      <c r="J168" s="550">
        <v>50</v>
      </c>
      <c r="K168" s="508" t="s">
        <v>571</v>
      </c>
      <c r="L168" s="508" t="s">
        <v>40</v>
      </c>
      <c r="M168" s="508">
        <v>2</v>
      </c>
      <c r="N168" s="508">
        <v>3</v>
      </c>
      <c r="O168" s="508"/>
      <c r="P168" s="395">
        <v>1</v>
      </c>
      <c r="Q168" s="395">
        <v>7</v>
      </c>
      <c r="R168" s="395">
        <v>8</v>
      </c>
      <c r="S168" s="395"/>
      <c r="T168" s="395"/>
      <c r="U168" s="255" t="s">
        <v>574</v>
      </c>
      <c r="V168" s="551" t="s">
        <v>300</v>
      </c>
      <c r="W168" s="542" t="str">
        <f t="shared" si="51"/>
        <v>ES0050_8+TB23 NA-</v>
      </c>
      <c r="X168" s="552" t="str">
        <f>I168&amp;TEXT(J168,"0000")&amp;"_"&amp;LEFT(Control!$D$22,LEN(Control!$D$22)-2)</f>
        <v>ES0050_8</v>
      </c>
      <c r="Y168" s="552" t="s">
        <v>433</v>
      </c>
      <c r="Z168" s="552" t="str">
        <f t="shared" si="158"/>
        <v>NA-</v>
      </c>
      <c r="AA168" s="552"/>
      <c r="AB168" s="552">
        <v>1</v>
      </c>
      <c r="AC168" s="552">
        <v>1</v>
      </c>
      <c r="AD168" s="552">
        <v>1</v>
      </c>
      <c r="AE168" s="552">
        <v>1</v>
      </c>
      <c r="AF168" s="552">
        <v>1</v>
      </c>
      <c r="AG168" s="542" t="s">
        <v>561</v>
      </c>
      <c r="AH168" s="552">
        <v>0</v>
      </c>
      <c r="AI168" s="552">
        <v>0</v>
      </c>
      <c r="AJ168" s="552">
        <v>1</v>
      </c>
      <c r="AK168" s="552">
        <v>1</v>
      </c>
      <c r="AL168" s="552">
        <v>1</v>
      </c>
      <c r="AM168" s="552">
        <v>0</v>
      </c>
      <c r="AN168" s="552">
        <v>0</v>
      </c>
      <c r="AO168" s="552">
        <v>1</v>
      </c>
      <c r="AP168" s="552">
        <v>1</v>
      </c>
      <c r="AQ168" s="552">
        <v>1</v>
      </c>
      <c r="AR168" s="552">
        <v>1</v>
      </c>
      <c r="AS168" s="552">
        <v>1</v>
      </c>
      <c r="AT168" s="552">
        <v>1</v>
      </c>
      <c r="AU168" s="552"/>
      <c r="AV168" s="553" t="str">
        <f>IF(H168="YES","'"&amp;INDEX('Structure Groups'!$C$12:$C$14,MATCH('Load Criteria'!$B$5,'Structure Groups'!$B$12:$B$14,0),1)&amp;"'","'All'")</f>
        <v>'GL Max 800m'</v>
      </c>
      <c r="AW168" s="552" t="s">
        <v>562</v>
      </c>
      <c r="AX168" s="552"/>
      <c r="AY168" s="552" t="str">
        <f t="shared" si="50"/>
        <v>Yes</v>
      </c>
      <c r="AZ168" s="389" t="str">
        <f t="shared" si="157"/>
        <v>2:1:Back</v>
      </c>
      <c r="BA168" s="554" t="s">
        <v>572</v>
      </c>
      <c r="BB168" s="391">
        <v>40</v>
      </c>
      <c r="BC168" s="579" t="str">
        <f t="shared" si="159"/>
        <v>12:1:Ahead</v>
      </c>
      <c r="BD168" s="554" t="s">
        <v>572</v>
      </c>
      <c r="BE168" s="580">
        <f t="shared" si="160"/>
        <v>70</v>
      </c>
      <c r="BF168" s="389" t="str">
        <f t="shared" si="111"/>
        <v>2:1:Ahead</v>
      </c>
      <c r="BG168" s="554" t="str">
        <f t="shared" si="112"/>
        <v>% Wire Ice</v>
      </c>
      <c r="BH168" s="391">
        <v>70</v>
      </c>
      <c r="BI168" s="389" t="str">
        <f t="shared" si="113"/>
        <v>3:1:Back</v>
      </c>
      <c r="BJ168" s="554" t="s">
        <v>572</v>
      </c>
      <c r="BK168" s="391">
        <v>40</v>
      </c>
      <c r="BL168" s="579" t="str">
        <f t="shared" si="161"/>
        <v>13:1:Ahead</v>
      </c>
      <c r="BM168" s="554" t="s">
        <v>572</v>
      </c>
      <c r="BN168" s="580">
        <f t="shared" si="162"/>
        <v>70</v>
      </c>
      <c r="BO168" s="389" t="str">
        <f t="shared" si="116"/>
        <v>3:1:Ahead</v>
      </c>
      <c r="BP168" s="554" t="str">
        <f t="shared" si="117"/>
        <v>% Wire Ice</v>
      </c>
      <c r="BQ168" s="391">
        <v>70</v>
      </c>
      <c r="BR168" s="389" t="str">
        <f t="shared" si="118"/>
        <v/>
      </c>
      <c r="BS168" s="554" t="str">
        <f t="shared" si="119"/>
        <v/>
      </c>
      <c r="BT168" s="391" t="str">
        <f t="shared" si="120"/>
        <v/>
      </c>
      <c r="BU168" s="389" t="str">
        <f t="shared" si="121"/>
        <v/>
      </c>
      <c r="BV168" s="554" t="str">
        <f t="shared" si="122"/>
        <v/>
      </c>
      <c r="BW168" s="391" t="str">
        <f t="shared" si="123"/>
        <v/>
      </c>
      <c r="BX168" s="389" t="str">
        <f t="shared" si="124"/>
        <v/>
      </c>
      <c r="BY168" s="554" t="str">
        <f t="shared" si="125"/>
        <v/>
      </c>
      <c r="BZ168" s="391" t="str">
        <f t="shared" si="126"/>
        <v/>
      </c>
      <c r="CA168" s="389" t="str">
        <f t="shared" si="127"/>
        <v>1:1:Back+Ahead</v>
      </c>
      <c r="CB168" s="554" t="str">
        <f t="shared" si="128"/>
        <v>% Wire Ice</v>
      </c>
      <c r="CC168" s="391">
        <f t="shared" si="129"/>
        <v>70</v>
      </c>
      <c r="CD168" s="389" t="str">
        <f t="shared" si="130"/>
        <v>11:1:Ahead</v>
      </c>
      <c r="CE168" s="554" t="str">
        <f t="shared" si="131"/>
        <v>% Wire Ice</v>
      </c>
      <c r="CF168" s="391">
        <f t="shared" si="132"/>
        <v>70</v>
      </c>
      <c r="CG168" s="389" t="str">
        <f t="shared" si="133"/>
        <v>7:1:Back+Ahead</v>
      </c>
      <c r="CH168" s="554" t="str">
        <f t="shared" si="134"/>
        <v>% Wire Ice</v>
      </c>
      <c r="CI168" s="391">
        <f t="shared" si="135"/>
        <v>70</v>
      </c>
      <c r="CJ168" s="389" t="str">
        <f t="shared" si="136"/>
        <v>17:1:Ahead</v>
      </c>
      <c r="CK168" s="554" t="str">
        <f t="shared" si="137"/>
        <v>% Wire Ice</v>
      </c>
      <c r="CL168" s="391">
        <f t="shared" si="138"/>
        <v>70</v>
      </c>
      <c r="CM168" s="389" t="str">
        <f t="shared" si="139"/>
        <v>8:1:Back+Ahead</v>
      </c>
      <c r="CN168" s="554" t="str">
        <f t="shared" si="140"/>
        <v>% Wire Ice</v>
      </c>
      <c r="CO168" s="391">
        <f t="shared" si="141"/>
        <v>70</v>
      </c>
      <c r="CP168" s="554" t="str">
        <f t="shared" si="142"/>
        <v>18:1:Ahead</v>
      </c>
      <c r="CQ168" s="554" t="str">
        <f t="shared" si="143"/>
        <v>% Wire Ice</v>
      </c>
      <c r="CR168" s="554">
        <f t="shared" si="144"/>
        <v>70</v>
      </c>
      <c r="CS168" s="554" t="str">
        <f t="shared" si="145"/>
        <v/>
      </c>
      <c r="CT168" s="554" t="str">
        <f t="shared" si="146"/>
        <v/>
      </c>
      <c r="CU168" s="554" t="str">
        <f t="shared" si="147"/>
        <v/>
      </c>
      <c r="CV168" s="554" t="str">
        <f t="shared" si="148"/>
        <v/>
      </c>
      <c r="CW168" s="554" t="str">
        <f t="shared" si="149"/>
        <v/>
      </c>
      <c r="CX168" s="554" t="str">
        <f t="shared" si="150"/>
        <v/>
      </c>
      <c r="CY168" s="554" t="str">
        <f t="shared" si="151"/>
        <v/>
      </c>
      <c r="CZ168" s="554" t="str">
        <f t="shared" si="152"/>
        <v/>
      </c>
      <c r="DA168" s="554" t="str">
        <f t="shared" si="153"/>
        <v/>
      </c>
      <c r="DB168" s="554" t="str">
        <f t="shared" si="154"/>
        <v/>
      </c>
      <c r="DC168" s="554" t="str">
        <f t="shared" si="155"/>
        <v/>
      </c>
      <c r="DD168" s="554" t="str">
        <f t="shared" si="156"/>
        <v/>
      </c>
      <c r="DE168" s="534"/>
      <c r="DF168" s="534"/>
      <c r="DG168" s="534"/>
    </row>
    <row r="169" spans="1:111" ht="15" x14ac:dyDescent="0.25">
      <c r="A169" s="549">
        <f>IFERROR(IF(INDEX('Weather Cases'!$E$10:$E$94,MATCH('Load Criteria'!X169,'Weather Cases'!$H$10:$H$94,0),1)=1,1,"-"),"-")</f>
        <v>1</v>
      </c>
      <c r="B169" s="555" t="s">
        <v>558</v>
      </c>
      <c r="C169" s="555" t="s">
        <v>573</v>
      </c>
      <c r="D169" s="555" t="s">
        <v>567</v>
      </c>
      <c r="E169" s="556" t="s">
        <v>22</v>
      </c>
      <c r="F169" s="556" t="s">
        <v>22</v>
      </c>
      <c r="G169" s="556" t="str">
        <f>IFERROR(IF(MID('Load Criteria'!X169,FIND("_",'Load Criteria'!X169,1)+1,1)=LEFT(Control!$D$23,1),"YES","-"),"-")</f>
        <v>-</v>
      </c>
      <c r="H169" s="549" t="str">
        <f>IF(INDEX('Weather Cases'!$G$10:$G$94,MATCH('Load Criteria'!X169,'Weather Cases'!$H$10:$H$94,0),1)="H","YES","")</f>
        <v>YES</v>
      </c>
      <c r="I169" s="557" t="s">
        <v>316</v>
      </c>
      <c r="J169" s="550">
        <v>50</v>
      </c>
      <c r="K169" s="508" t="s">
        <v>571</v>
      </c>
      <c r="L169" s="508" t="s">
        <v>24</v>
      </c>
      <c r="M169" s="508">
        <v>1</v>
      </c>
      <c r="N169" s="508">
        <v>2</v>
      </c>
      <c r="O169" s="508">
        <v>3</v>
      </c>
      <c r="P169" s="395">
        <v>4</v>
      </c>
      <c r="Q169" s="395">
        <v>5</v>
      </c>
      <c r="R169" s="395">
        <v>6</v>
      </c>
      <c r="S169" s="395">
        <v>7</v>
      </c>
      <c r="T169" s="395">
        <v>8</v>
      </c>
      <c r="U169" s="255" t="s">
        <v>574</v>
      </c>
      <c r="V169" s="551" t="s">
        <v>300</v>
      </c>
      <c r="W169" s="542" t="str">
        <f t="shared" si="51"/>
        <v>ES0050_8+TA123 NA-</v>
      </c>
      <c r="X169" s="552" t="str">
        <f>I169&amp;TEXT(J169,"0000")&amp;"_"&amp;LEFT(Control!$D$22,LEN(Control!$D$22)-2)</f>
        <v>ES0050_8</v>
      </c>
      <c r="Y169" s="552" t="s">
        <v>433</v>
      </c>
      <c r="Z169" s="552" t="str">
        <f t="shared" si="158"/>
        <v>NA-</v>
      </c>
      <c r="AA169" s="552"/>
      <c r="AB169" s="552">
        <v>1</v>
      </c>
      <c r="AC169" s="552">
        <v>1</v>
      </c>
      <c r="AD169" s="552">
        <v>1</v>
      </c>
      <c r="AE169" s="552">
        <v>1</v>
      </c>
      <c r="AF169" s="552">
        <v>1</v>
      </c>
      <c r="AG169" s="542" t="s">
        <v>561</v>
      </c>
      <c r="AH169" s="552">
        <v>0</v>
      </c>
      <c r="AI169" s="552">
        <v>0</v>
      </c>
      <c r="AJ169" s="552">
        <v>1</v>
      </c>
      <c r="AK169" s="552">
        <v>1</v>
      </c>
      <c r="AL169" s="552">
        <v>1</v>
      </c>
      <c r="AM169" s="552">
        <v>0</v>
      </c>
      <c r="AN169" s="552">
        <v>0</v>
      </c>
      <c r="AO169" s="552">
        <v>1</v>
      </c>
      <c r="AP169" s="552">
        <v>1</v>
      </c>
      <c r="AQ169" s="552">
        <v>1</v>
      </c>
      <c r="AR169" s="552">
        <v>1</v>
      </c>
      <c r="AS169" s="552">
        <v>1</v>
      </c>
      <c r="AT169" s="552">
        <v>1</v>
      </c>
      <c r="AU169" s="552">
        <v>1</v>
      </c>
      <c r="AV169" s="553" t="str">
        <f>IF(H169="YES","'"&amp;INDEX('Structure Groups'!$C$12:$C$14,MATCH('Load Criteria'!$B$5,'Structure Groups'!$B$12:$B$14,0),1)&amp;"'","'All'")</f>
        <v>'GL Max 800m'</v>
      </c>
      <c r="AW169" s="552" t="s">
        <v>562</v>
      </c>
      <c r="AX169" s="552"/>
      <c r="AY169" s="552" t="str">
        <f t="shared" si="50"/>
        <v>Yes</v>
      </c>
      <c r="AZ169" s="389" t="str">
        <f t="shared" si="157"/>
        <v>1:1:Ahead</v>
      </c>
      <c r="BA169" s="554" t="s">
        <v>572</v>
      </c>
      <c r="BB169" s="391">
        <v>40</v>
      </c>
      <c r="BC169" s="579" t="str">
        <f t="shared" si="109"/>
        <v>11:1:Ahead</v>
      </c>
      <c r="BD169" s="554" t="s">
        <v>572</v>
      </c>
      <c r="BE169" s="580">
        <f t="shared" si="160"/>
        <v>40</v>
      </c>
      <c r="BF169" s="389" t="str">
        <f t="shared" si="111"/>
        <v>1:1:Back</v>
      </c>
      <c r="BG169" s="554" t="str">
        <f t="shared" si="112"/>
        <v>% Wire Ice</v>
      </c>
      <c r="BH169" s="391">
        <v>70</v>
      </c>
      <c r="BI169" s="389" t="str">
        <f t="shared" si="113"/>
        <v>2:1:Ahead</v>
      </c>
      <c r="BJ169" s="554" t="s">
        <v>572</v>
      </c>
      <c r="BK169" s="391">
        <v>40</v>
      </c>
      <c r="BL169" s="579" t="str">
        <f>$N169+10&amp;":1:"&amp;"Ahead"</f>
        <v>12:1:Ahead</v>
      </c>
      <c r="BM169" s="554" t="s">
        <v>572</v>
      </c>
      <c r="BN169" s="580">
        <f t="shared" si="162"/>
        <v>40</v>
      </c>
      <c r="BO169" s="389" t="str">
        <f t="shared" si="116"/>
        <v>2:1:Back</v>
      </c>
      <c r="BP169" s="554" t="str">
        <f t="shared" si="117"/>
        <v>% Wire Ice</v>
      </c>
      <c r="BQ169" s="391">
        <v>70</v>
      </c>
      <c r="BR169" s="389" t="str">
        <f t="shared" si="118"/>
        <v>3:1:Ahead</v>
      </c>
      <c r="BS169" s="554" t="str">
        <f t="shared" si="119"/>
        <v>% Wire Ice</v>
      </c>
      <c r="BT169" s="391">
        <f t="shared" si="120"/>
        <v>40</v>
      </c>
      <c r="BU169" s="579" t="str">
        <f>$O169+10&amp;":1:"&amp;"Ahead"</f>
        <v>13:1:Ahead</v>
      </c>
      <c r="BV169" s="554" t="str">
        <f t="shared" si="122"/>
        <v>% Wire Ice</v>
      </c>
      <c r="BW169" s="580">
        <f t="shared" ref="BW169:BW172" si="163">IF($L169="A",40,70)</f>
        <v>40</v>
      </c>
      <c r="BX169" s="389" t="str">
        <f t="shared" si="124"/>
        <v>3:1:Back</v>
      </c>
      <c r="BY169" s="554" t="str">
        <f t="shared" si="125"/>
        <v>% Wire Ice</v>
      </c>
      <c r="BZ169" s="391">
        <f t="shared" si="126"/>
        <v>70</v>
      </c>
      <c r="CA169" s="389" t="str">
        <f t="shared" si="127"/>
        <v>4:1:Back+Ahead</v>
      </c>
      <c r="CB169" s="554" t="str">
        <f t="shared" si="128"/>
        <v>% Wire Ice</v>
      </c>
      <c r="CC169" s="391">
        <f t="shared" si="129"/>
        <v>70</v>
      </c>
      <c r="CD169" s="389" t="str">
        <f t="shared" si="130"/>
        <v>14:1:Ahead</v>
      </c>
      <c r="CE169" s="554" t="str">
        <f t="shared" si="131"/>
        <v>% Wire Ice</v>
      </c>
      <c r="CF169" s="391">
        <f t="shared" si="132"/>
        <v>70</v>
      </c>
      <c r="CG169" s="389" t="str">
        <f t="shared" si="133"/>
        <v>5:1:Back+Ahead</v>
      </c>
      <c r="CH169" s="554" t="str">
        <f t="shared" si="134"/>
        <v>% Wire Ice</v>
      </c>
      <c r="CI169" s="391">
        <f t="shared" si="135"/>
        <v>70</v>
      </c>
      <c r="CJ169" s="389" t="str">
        <f t="shared" si="136"/>
        <v>15:1:Ahead</v>
      </c>
      <c r="CK169" s="554" t="str">
        <f t="shared" si="137"/>
        <v>% Wire Ice</v>
      </c>
      <c r="CL169" s="391">
        <f t="shared" si="138"/>
        <v>70</v>
      </c>
      <c r="CM169" s="389" t="str">
        <f t="shared" si="139"/>
        <v>6:1:Back+Ahead</v>
      </c>
      <c r="CN169" s="554" t="str">
        <f t="shared" si="140"/>
        <v>% Wire Ice</v>
      </c>
      <c r="CO169" s="391">
        <f t="shared" si="141"/>
        <v>70</v>
      </c>
      <c r="CP169" s="554" t="str">
        <f t="shared" si="142"/>
        <v>16:1:Ahead</v>
      </c>
      <c r="CQ169" s="554" t="str">
        <f t="shared" si="143"/>
        <v>% Wire Ice</v>
      </c>
      <c r="CR169" s="554">
        <f t="shared" si="144"/>
        <v>70</v>
      </c>
      <c r="CS169" s="554" t="str">
        <f t="shared" si="145"/>
        <v>7:1:Back+Ahead</v>
      </c>
      <c r="CT169" s="554" t="str">
        <f t="shared" si="146"/>
        <v>% Wire Ice</v>
      </c>
      <c r="CU169" s="554">
        <f t="shared" si="147"/>
        <v>70</v>
      </c>
      <c r="CV169" s="554" t="str">
        <f t="shared" si="148"/>
        <v>17:1:Ahead</v>
      </c>
      <c r="CW169" s="554" t="str">
        <f t="shared" si="149"/>
        <v>% Wire Ice</v>
      </c>
      <c r="CX169" s="554">
        <f t="shared" si="150"/>
        <v>70</v>
      </c>
      <c r="CY169" s="554" t="str">
        <f t="shared" si="151"/>
        <v>8:1:Back+Ahead</v>
      </c>
      <c r="CZ169" s="554" t="str">
        <f t="shared" si="152"/>
        <v>% Wire Ice</v>
      </c>
      <c r="DA169" s="554">
        <f t="shared" si="153"/>
        <v>70</v>
      </c>
      <c r="DB169" s="554" t="str">
        <f t="shared" si="154"/>
        <v>18:1:Ahead</v>
      </c>
      <c r="DC169" s="554" t="str">
        <f t="shared" si="155"/>
        <v>% Wire Ice</v>
      </c>
      <c r="DD169" s="554">
        <f t="shared" si="156"/>
        <v>70</v>
      </c>
      <c r="DE169" s="534"/>
      <c r="DF169" s="534"/>
      <c r="DG169" s="534"/>
    </row>
    <row r="170" spans="1:111" ht="15" x14ac:dyDescent="0.25">
      <c r="A170" s="549">
        <f>IFERROR(IF(INDEX('Weather Cases'!$E$10:$E$94,MATCH('Load Criteria'!X170,'Weather Cases'!$H$10:$H$94,0),1)=1,1,"-"),"-")</f>
        <v>1</v>
      </c>
      <c r="B170" s="555" t="s">
        <v>558</v>
      </c>
      <c r="C170" s="555" t="s">
        <v>573</v>
      </c>
      <c r="D170" s="555" t="s">
        <v>567</v>
      </c>
      <c r="E170" s="556" t="s">
        <v>22</v>
      </c>
      <c r="F170" s="556" t="s">
        <v>22</v>
      </c>
      <c r="G170" s="556" t="str">
        <f>IFERROR(IF(MID('Load Criteria'!X170,FIND("_",'Load Criteria'!X170,1)+1,1)=LEFT(Control!$D$23,1),"YES","-"),"-")</f>
        <v>-</v>
      </c>
      <c r="H170" s="549" t="str">
        <f>IF(INDEX('Weather Cases'!$G$10:$G$94,MATCH('Load Criteria'!X170,'Weather Cases'!$H$10:$H$94,0),1)="H","YES","")</f>
        <v>YES</v>
      </c>
      <c r="I170" s="557" t="s">
        <v>316</v>
      </c>
      <c r="J170" s="550">
        <v>50</v>
      </c>
      <c r="K170" s="508" t="s">
        <v>571</v>
      </c>
      <c r="L170" s="508" t="s">
        <v>40</v>
      </c>
      <c r="M170" s="508">
        <v>1</v>
      </c>
      <c r="N170" s="508">
        <v>2</v>
      </c>
      <c r="O170" s="508">
        <v>3</v>
      </c>
      <c r="P170" s="395">
        <v>4</v>
      </c>
      <c r="Q170" s="395">
        <v>5</v>
      </c>
      <c r="R170" s="395">
        <v>6</v>
      </c>
      <c r="S170" s="395">
        <v>7</v>
      </c>
      <c r="T170" s="395">
        <v>8</v>
      </c>
      <c r="U170" s="255" t="s">
        <v>574</v>
      </c>
      <c r="V170" s="551" t="s">
        <v>300</v>
      </c>
      <c r="W170" s="542" t="str">
        <f t="shared" si="51"/>
        <v>ES0050_8+TB123 NA-</v>
      </c>
      <c r="X170" s="552" t="str">
        <f>I170&amp;TEXT(J170,"0000")&amp;"_"&amp;LEFT(Control!$D$22,LEN(Control!$D$22)-2)</f>
        <v>ES0050_8</v>
      </c>
      <c r="Y170" s="552" t="s">
        <v>433</v>
      </c>
      <c r="Z170" s="552" t="str">
        <f t="shared" si="158"/>
        <v>NA-</v>
      </c>
      <c r="AA170" s="552"/>
      <c r="AB170" s="552">
        <v>1</v>
      </c>
      <c r="AC170" s="552">
        <v>1</v>
      </c>
      <c r="AD170" s="552">
        <v>1</v>
      </c>
      <c r="AE170" s="552">
        <v>1</v>
      </c>
      <c r="AF170" s="552">
        <v>1</v>
      </c>
      <c r="AG170" s="542" t="s">
        <v>561</v>
      </c>
      <c r="AH170" s="552">
        <v>0</v>
      </c>
      <c r="AI170" s="552">
        <v>0</v>
      </c>
      <c r="AJ170" s="552">
        <v>1</v>
      </c>
      <c r="AK170" s="552">
        <v>1</v>
      </c>
      <c r="AL170" s="552">
        <v>1</v>
      </c>
      <c r="AM170" s="552">
        <v>0</v>
      </c>
      <c r="AN170" s="552">
        <v>0</v>
      </c>
      <c r="AO170" s="552">
        <v>1</v>
      </c>
      <c r="AP170" s="552">
        <v>1</v>
      </c>
      <c r="AQ170" s="552">
        <v>1</v>
      </c>
      <c r="AR170" s="552">
        <v>1</v>
      </c>
      <c r="AS170" s="552">
        <v>1</v>
      </c>
      <c r="AT170" s="552">
        <v>1</v>
      </c>
      <c r="AU170" s="552">
        <v>1</v>
      </c>
      <c r="AV170" s="553" t="str">
        <f>IF(H170="YES","'"&amp;INDEX('Structure Groups'!$C$12:$C$14,MATCH('Load Criteria'!$B$5,'Structure Groups'!$B$12:$B$14,0),1)&amp;"'","'All'")</f>
        <v>'GL Max 800m'</v>
      </c>
      <c r="AW170" s="552" t="s">
        <v>562</v>
      </c>
      <c r="AX170" s="552"/>
      <c r="AY170" s="552" t="str">
        <f t="shared" si="50"/>
        <v>Yes</v>
      </c>
      <c r="AZ170" s="389" t="str">
        <f t="shared" si="157"/>
        <v>1:1:Back</v>
      </c>
      <c r="BA170" s="554" t="s">
        <v>572</v>
      </c>
      <c r="BB170" s="391">
        <v>40</v>
      </c>
      <c r="BC170" s="579" t="str">
        <f t="shared" si="109"/>
        <v>11:1:Ahead</v>
      </c>
      <c r="BD170" s="554" t="s">
        <v>572</v>
      </c>
      <c r="BE170" s="580">
        <f t="shared" si="160"/>
        <v>70</v>
      </c>
      <c r="BF170" s="389" t="str">
        <f t="shared" si="111"/>
        <v>1:1:Ahead</v>
      </c>
      <c r="BG170" s="554" t="str">
        <f t="shared" si="112"/>
        <v>% Wire Ice</v>
      </c>
      <c r="BH170" s="391">
        <v>70</v>
      </c>
      <c r="BI170" s="389" t="str">
        <f t="shared" si="113"/>
        <v>2:1:Back</v>
      </c>
      <c r="BJ170" s="554" t="s">
        <v>572</v>
      </c>
      <c r="BK170" s="391">
        <v>40</v>
      </c>
      <c r="BL170" s="579" t="str">
        <f t="shared" ref="BL170:BL172" si="164">$N170+10&amp;":1:"&amp;"Ahead"</f>
        <v>12:1:Ahead</v>
      </c>
      <c r="BM170" s="554" t="s">
        <v>572</v>
      </c>
      <c r="BN170" s="580">
        <f t="shared" si="162"/>
        <v>70</v>
      </c>
      <c r="BO170" s="389" t="str">
        <f t="shared" si="116"/>
        <v>2:1:Ahead</v>
      </c>
      <c r="BP170" s="554" t="str">
        <f t="shared" si="117"/>
        <v>% Wire Ice</v>
      </c>
      <c r="BQ170" s="391">
        <v>70</v>
      </c>
      <c r="BR170" s="389" t="str">
        <f t="shared" si="118"/>
        <v>3:1:Back</v>
      </c>
      <c r="BS170" s="554" t="str">
        <f t="shared" si="119"/>
        <v>% Wire Ice</v>
      </c>
      <c r="BT170" s="391">
        <f t="shared" si="120"/>
        <v>40</v>
      </c>
      <c r="BU170" s="579" t="str">
        <f t="shared" ref="BU170:BU172" si="165">$O170+10&amp;":1:"&amp;"Ahead"</f>
        <v>13:1:Ahead</v>
      </c>
      <c r="BV170" s="554" t="str">
        <f t="shared" si="122"/>
        <v>% Wire Ice</v>
      </c>
      <c r="BW170" s="580">
        <f t="shared" si="163"/>
        <v>70</v>
      </c>
      <c r="BX170" s="389" t="str">
        <f t="shared" si="124"/>
        <v>3:1:Ahead</v>
      </c>
      <c r="BY170" s="554" t="str">
        <f t="shared" si="125"/>
        <v>% Wire Ice</v>
      </c>
      <c r="BZ170" s="391">
        <f t="shared" si="126"/>
        <v>70</v>
      </c>
      <c r="CA170" s="389" t="str">
        <f t="shared" si="127"/>
        <v>4:1:Back+Ahead</v>
      </c>
      <c r="CB170" s="554" t="str">
        <f t="shared" si="128"/>
        <v>% Wire Ice</v>
      </c>
      <c r="CC170" s="391">
        <f t="shared" si="129"/>
        <v>70</v>
      </c>
      <c r="CD170" s="389" t="str">
        <f t="shared" si="130"/>
        <v>14:1:Ahead</v>
      </c>
      <c r="CE170" s="554" t="str">
        <f t="shared" si="131"/>
        <v>% Wire Ice</v>
      </c>
      <c r="CF170" s="391">
        <f t="shared" si="132"/>
        <v>70</v>
      </c>
      <c r="CG170" s="389" t="str">
        <f t="shared" si="133"/>
        <v>5:1:Back+Ahead</v>
      </c>
      <c r="CH170" s="554" t="str">
        <f t="shared" si="134"/>
        <v>% Wire Ice</v>
      </c>
      <c r="CI170" s="391">
        <f t="shared" si="135"/>
        <v>70</v>
      </c>
      <c r="CJ170" s="389" t="str">
        <f t="shared" si="136"/>
        <v>15:1:Ahead</v>
      </c>
      <c r="CK170" s="554" t="str">
        <f t="shared" si="137"/>
        <v>% Wire Ice</v>
      </c>
      <c r="CL170" s="391">
        <f t="shared" si="138"/>
        <v>70</v>
      </c>
      <c r="CM170" s="389" t="str">
        <f t="shared" si="139"/>
        <v>6:1:Back+Ahead</v>
      </c>
      <c r="CN170" s="554" t="str">
        <f t="shared" si="140"/>
        <v>% Wire Ice</v>
      </c>
      <c r="CO170" s="391">
        <f t="shared" si="141"/>
        <v>70</v>
      </c>
      <c r="CP170" s="554" t="str">
        <f t="shared" si="142"/>
        <v>16:1:Ahead</v>
      </c>
      <c r="CQ170" s="554" t="str">
        <f t="shared" si="143"/>
        <v>% Wire Ice</v>
      </c>
      <c r="CR170" s="554">
        <f t="shared" si="144"/>
        <v>70</v>
      </c>
      <c r="CS170" s="554" t="str">
        <f t="shared" si="145"/>
        <v>7:1:Back+Ahead</v>
      </c>
      <c r="CT170" s="554" t="str">
        <f t="shared" si="146"/>
        <v>% Wire Ice</v>
      </c>
      <c r="CU170" s="554">
        <f t="shared" si="147"/>
        <v>70</v>
      </c>
      <c r="CV170" s="554" t="str">
        <f t="shared" si="148"/>
        <v>17:1:Ahead</v>
      </c>
      <c r="CW170" s="554" t="str">
        <f t="shared" si="149"/>
        <v>% Wire Ice</v>
      </c>
      <c r="CX170" s="554">
        <f t="shared" si="150"/>
        <v>70</v>
      </c>
      <c r="CY170" s="554" t="str">
        <f t="shared" si="151"/>
        <v>8:1:Back+Ahead</v>
      </c>
      <c r="CZ170" s="554" t="str">
        <f t="shared" si="152"/>
        <v>% Wire Ice</v>
      </c>
      <c r="DA170" s="554">
        <f t="shared" si="153"/>
        <v>70</v>
      </c>
      <c r="DB170" s="554" t="str">
        <f t="shared" si="154"/>
        <v>18:1:Ahead</v>
      </c>
      <c r="DC170" s="554" t="str">
        <f t="shared" si="155"/>
        <v>% Wire Ice</v>
      </c>
      <c r="DD170" s="554">
        <f t="shared" si="156"/>
        <v>70</v>
      </c>
      <c r="DE170" s="534"/>
      <c r="DF170" s="534"/>
      <c r="DG170" s="534"/>
    </row>
    <row r="171" spans="1:111" ht="15" x14ac:dyDescent="0.25">
      <c r="A171" s="549">
        <f>IFERROR(IF(INDEX('Weather Cases'!$E$10:$E$94,MATCH('Load Criteria'!X171,'Weather Cases'!$H$10:$H$94,0),1)=1,1,"-"),"-")</f>
        <v>1</v>
      </c>
      <c r="B171" s="555" t="s">
        <v>558</v>
      </c>
      <c r="C171" s="555" t="s">
        <v>573</v>
      </c>
      <c r="D171" s="555" t="s">
        <v>567</v>
      </c>
      <c r="E171" s="556" t="s">
        <v>22</v>
      </c>
      <c r="F171" s="556" t="s">
        <v>22</v>
      </c>
      <c r="G171" s="556" t="str">
        <f>IFERROR(IF(MID('Load Criteria'!X171,FIND("_",'Load Criteria'!X171,1)+1,1)=LEFT(Control!$D$23,1),"YES","-"),"-")</f>
        <v>-</v>
      </c>
      <c r="H171" s="549" t="str">
        <f>IF(INDEX('Weather Cases'!$G$10:$G$94,MATCH('Load Criteria'!X171,'Weather Cases'!$H$10:$H$94,0),1)="H","YES","")</f>
        <v>YES</v>
      </c>
      <c r="I171" s="557" t="s">
        <v>316</v>
      </c>
      <c r="J171" s="550">
        <v>50</v>
      </c>
      <c r="K171" s="508" t="s">
        <v>571</v>
      </c>
      <c r="L171" s="508" t="s">
        <v>24</v>
      </c>
      <c r="M171" s="508">
        <v>4</v>
      </c>
      <c r="N171" s="508">
        <v>5</v>
      </c>
      <c r="O171" s="508">
        <v>6</v>
      </c>
      <c r="P171" s="395">
        <v>1</v>
      </c>
      <c r="Q171" s="395">
        <v>2</v>
      </c>
      <c r="R171" s="395">
        <v>3</v>
      </c>
      <c r="S171" s="395">
        <v>7</v>
      </c>
      <c r="T171" s="395">
        <v>8</v>
      </c>
      <c r="U171" s="255" t="s">
        <v>574</v>
      </c>
      <c r="V171" s="551" t="s">
        <v>300</v>
      </c>
      <c r="W171" s="542" t="str">
        <f t="shared" si="51"/>
        <v>ES0050_8+TA456 NA-</v>
      </c>
      <c r="X171" s="552" t="str">
        <f>I171&amp;TEXT(J171,"0000")&amp;"_"&amp;LEFT(Control!$D$22,LEN(Control!$D$22)-2)</f>
        <v>ES0050_8</v>
      </c>
      <c r="Y171" s="552" t="s">
        <v>433</v>
      </c>
      <c r="Z171" s="552" t="str">
        <f t="shared" si="158"/>
        <v>NA-</v>
      </c>
      <c r="AA171" s="552"/>
      <c r="AB171" s="552">
        <v>1</v>
      </c>
      <c r="AC171" s="552">
        <v>1</v>
      </c>
      <c r="AD171" s="552">
        <v>1</v>
      </c>
      <c r="AE171" s="552">
        <v>1</v>
      </c>
      <c r="AF171" s="552">
        <v>1</v>
      </c>
      <c r="AG171" s="542" t="s">
        <v>561</v>
      </c>
      <c r="AH171" s="552">
        <v>0</v>
      </c>
      <c r="AI171" s="552">
        <v>0</v>
      </c>
      <c r="AJ171" s="552">
        <v>1</v>
      </c>
      <c r="AK171" s="552">
        <v>1</v>
      </c>
      <c r="AL171" s="552">
        <v>1</v>
      </c>
      <c r="AM171" s="552">
        <v>0</v>
      </c>
      <c r="AN171" s="552">
        <v>0</v>
      </c>
      <c r="AO171" s="552">
        <v>1</v>
      </c>
      <c r="AP171" s="552">
        <v>1</v>
      </c>
      <c r="AQ171" s="552">
        <v>1</v>
      </c>
      <c r="AR171" s="552">
        <v>1</v>
      </c>
      <c r="AS171" s="552">
        <v>1</v>
      </c>
      <c r="AT171" s="552">
        <v>1</v>
      </c>
      <c r="AU171" s="552">
        <v>1</v>
      </c>
      <c r="AV171" s="553" t="str">
        <f>IF(H171="YES","'"&amp;INDEX('Structure Groups'!$C$12:$C$14,MATCH('Load Criteria'!$B$5,'Structure Groups'!$B$12:$B$14,0),1)&amp;"'","'All'")</f>
        <v>'GL Max 800m'</v>
      </c>
      <c r="AW171" s="552" t="s">
        <v>562</v>
      </c>
      <c r="AX171" s="552"/>
      <c r="AY171" s="552" t="str">
        <f t="shared" si="50"/>
        <v>Yes</v>
      </c>
      <c r="AZ171" s="389" t="str">
        <f t="shared" si="157"/>
        <v>4:1:Ahead</v>
      </c>
      <c r="BA171" s="554" t="s">
        <v>572</v>
      </c>
      <c r="BB171" s="391">
        <v>40</v>
      </c>
      <c r="BC171" s="579" t="str">
        <f t="shared" si="109"/>
        <v>14:1:Ahead</v>
      </c>
      <c r="BD171" s="554" t="s">
        <v>572</v>
      </c>
      <c r="BE171" s="580">
        <f t="shared" si="160"/>
        <v>40</v>
      </c>
      <c r="BF171" s="389" t="str">
        <f t="shared" si="111"/>
        <v>4:1:Back</v>
      </c>
      <c r="BG171" s="554" t="str">
        <f t="shared" si="112"/>
        <v>% Wire Ice</v>
      </c>
      <c r="BH171" s="391">
        <v>70</v>
      </c>
      <c r="BI171" s="389" t="str">
        <f t="shared" si="113"/>
        <v>5:1:Ahead</v>
      </c>
      <c r="BJ171" s="554" t="s">
        <v>572</v>
      </c>
      <c r="BK171" s="391">
        <v>40</v>
      </c>
      <c r="BL171" s="579" t="str">
        <f t="shared" si="164"/>
        <v>15:1:Ahead</v>
      </c>
      <c r="BM171" s="554" t="s">
        <v>572</v>
      </c>
      <c r="BN171" s="580">
        <f t="shared" si="162"/>
        <v>40</v>
      </c>
      <c r="BO171" s="389" t="str">
        <f t="shared" si="116"/>
        <v>5:1:Back</v>
      </c>
      <c r="BP171" s="554" t="str">
        <f t="shared" si="117"/>
        <v>% Wire Ice</v>
      </c>
      <c r="BQ171" s="391">
        <v>70</v>
      </c>
      <c r="BR171" s="389" t="str">
        <f t="shared" si="118"/>
        <v>6:1:Ahead</v>
      </c>
      <c r="BS171" s="554" t="str">
        <f t="shared" si="119"/>
        <v>% Wire Ice</v>
      </c>
      <c r="BT171" s="391">
        <f t="shared" si="120"/>
        <v>40</v>
      </c>
      <c r="BU171" s="579" t="str">
        <f t="shared" si="165"/>
        <v>16:1:Ahead</v>
      </c>
      <c r="BV171" s="554" t="str">
        <f t="shared" si="122"/>
        <v>% Wire Ice</v>
      </c>
      <c r="BW171" s="580">
        <f t="shared" si="163"/>
        <v>40</v>
      </c>
      <c r="BX171" s="389" t="str">
        <f t="shared" si="124"/>
        <v>6:1:Back</v>
      </c>
      <c r="BY171" s="554" t="str">
        <f t="shared" si="125"/>
        <v>% Wire Ice</v>
      </c>
      <c r="BZ171" s="391">
        <f t="shared" si="126"/>
        <v>70</v>
      </c>
      <c r="CA171" s="389" t="str">
        <f t="shared" si="127"/>
        <v>1:1:Back+Ahead</v>
      </c>
      <c r="CB171" s="554" t="str">
        <f t="shared" si="128"/>
        <v>% Wire Ice</v>
      </c>
      <c r="CC171" s="391">
        <f t="shared" si="129"/>
        <v>70</v>
      </c>
      <c r="CD171" s="389" t="str">
        <f t="shared" si="130"/>
        <v>11:1:Ahead</v>
      </c>
      <c r="CE171" s="554" t="str">
        <f t="shared" si="131"/>
        <v>% Wire Ice</v>
      </c>
      <c r="CF171" s="391">
        <f t="shared" si="132"/>
        <v>70</v>
      </c>
      <c r="CG171" s="389" t="str">
        <f t="shared" si="133"/>
        <v>2:1:Back+Ahead</v>
      </c>
      <c r="CH171" s="554" t="str">
        <f t="shared" si="134"/>
        <v>% Wire Ice</v>
      </c>
      <c r="CI171" s="391">
        <f t="shared" si="135"/>
        <v>70</v>
      </c>
      <c r="CJ171" s="389" t="str">
        <f t="shared" si="136"/>
        <v>12:1:Ahead</v>
      </c>
      <c r="CK171" s="554" t="str">
        <f t="shared" si="137"/>
        <v>% Wire Ice</v>
      </c>
      <c r="CL171" s="391">
        <f t="shared" si="138"/>
        <v>70</v>
      </c>
      <c r="CM171" s="389" t="str">
        <f t="shared" si="139"/>
        <v>3:1:Back+Ahead</v>
      </c>
      <c r="CN171" s="554" t="str">
        <f t="shared" si="140"/>
        <v>% Wire Ice</v>
      </c>
      <c r="CO171" s="391">
        <f t="shared" si="141"/>
        <v>70</v>
      </c>
      <c r="CP171" s="554" t="str">
        <f t="shared" si="142"/>
        <v>13:1:Ahead</v>
      </c>
      <c r="CQ171" s="554" t="str">
        <f t="shared" si="143"/>
        <v>% Wire Ice</v>
      </c>
      <c r="CR171" s="554">
        <f t="shared" si="144"/>
        <v>70</v>
      </c>
      <c r="CS171" s="554" t="str">
        <f t="shared" si="145"/>
        <v>7:1:Back+Ahead</v>
      </c>
      <c r="CT171" s="554" t="str">
        <f t="shared" si="146"/>
        <v>% Wire Ice</v>
      </c>
      <c r="CU171" s="554">
        <f t="shared" si="147"/>
        <v>70</v>
      </c>
      <c r="CV171" s="554" t="str">
        <f t="shared" si="148"/>
        <v>17:1:Ahead</v>
      </c>
      <c r="CW171" s="554" t="str">
        <f t="shared" si="149"/>
        <v>% Wire Ice</v>
      </c>
      <c r="CX171" s="554">
        <f t="shared" si="150"/>
        <v>70</v>
      </c>
      <c r="CY171" s="554" t="str">
        <f t="shared" si="151"/>
        <v>8:1:Back+Ahead</v>
      </c>
      <c r="CZ171" s="554" t="str">
        <f t="shared" si="152"/>
        <v>% Wire Ice</v>
      </c>
      <c r="DA171" s="554">
        <f t="shared" si="153"/>
        <v>70</v>
      </c>
      <c r="DB171" s="554" t="str">
        <f t="shared" si="154"/>
        <v>18:1:Ahead</v>
      </c>
      <c r="DC171" s="554" t="str">
        <f t="shared" si="155"/>
        <v>% Wire Ice</v>
      </c>
      <c r="DD171" s="554">
        <f t="shared" si="156"/>
        <v>70</v>
      </c>
      <c r="DE171" s="534"/>
      <c r="DF171" s="534"/>
      <c r="DG171" s="534"/>
    </row>
    <row r="172" spans="1:111" ht="15" x14ac:dyDescent="0.25">
      <c r="A172" s="549">
        <f>IFERROR(IF(INDEX('Weather Cases'!$E$10:$E$94,MATCH('Load Criteria'!X172,'Weather Cases'!$H$10:$H$94,0),1)=1,1,"-"),"-")</f>
        <v>1</v>
      </c>
      <c r="B172" s="555" t="s">
        <v>558</v>
      </c>
      <c r="C172" s="555" t="s">
        <v>573</v>
      </c>
      <c r="D172" s="555" t="s">
        <v>567</v>
      </c>
      <c r="E172" s="556" t="s">
        <v>22</v>
      </c>
      <c r="F172" s="556" t="s">
        <v>22</v>
      </c>
      <c r="G172" s="556" t="str">
        <f>IFERROR(IF(MID('Load Criteria'!X172,FIND("_",'Load Criteria'!X172,1)+1,1)=LEFT(Control!$D$23,1),"YES","-"),"-")</f>
        <v>-</v>
      </c>
      <c r="H172" s="549" t="str">
        <f>IF(INDEX('Weather Cases'!$G$10:$G$94,MATCH('Load Criteria'!X172,'Weather Cases'!$H$10:$H$94,0),1)="H","YES","")</f>
        <v>YES</v>
      </c>
      <c r="I172" s="557" t="s">
        <v>316</v>
      </c>
      <c r="J172" s="550">
        <v>50</v>
      </c>
      <c r="K172" s="508" t="s">
        <v>571</v>
      </c>
      <c r="L172" s="508" t="s">
        <v>40</v>
      </c>
      <c r="M172" s="508">
        <v>4</v>
      </c>
      <c r="N172" s="508">
        <v>5</v>
      </c>
      <c r="O172" s="508">
        <v>6</v>
      </c>
      <c r="P172" s="395">
        <v>1</v>
      </c>
      <c r="Q172" s="395">
        <v>2</v>
      </c>
      <c r="R172" s="395">
        <v>3</v>
      </c>
      <c r="S172" s="395">
        <v>7</v>
      </c>
      <c r="T172" s="395">
        <v>8</v>
      </c>
      <c r="U172" s="255" t="s">
        <v>574</v>
      </c>
      <c r="V172" s="551" t="s">
        <v>300</v>
      </c>
      <c r="W172" s="542" t="str">
        <f t="shared" si="51"/>
        <v>ES0050_8+TB456 NA-</v>
      </c>
      <c r="X172" s="552" t="str">
        <f>I172&amp;TEXT(J172,"0000")&amp;"_"&amp;LEFT(Control!$D$22,LEN(Control!$D$22)-2)</f>
        <v>ES0050_8</v>
      </c>
      <c r="Y172" s="552" t="s">
        <v>433</v>
      </c>
      <c r="Z172" s="552" t="str">
        <f t="shared" si="158"/>
        <v>NA-</v>
      </c>
      <c r="AA172" s="552"/>
      <c r="AB172" s="552">
        <v>1</v>
      </c>
      <c r="AC172" s="552">
        <v>1</v>
      </c>
      <c r="AD172" s="552">
        <v>1</v>
      </c>
      <c r="AE172" s="552">
        <v>1</v>
      </c>
      <c r="AF172" s="552">
        <v>1</v>
      </c>
      <c r="AG172" s="542" t="s">
        <v>561</v>
      </c>
      <c r="AH172" s="552">
        <v>0</v>
      </c>
      <c r="AI172" s="552">
        <v>0</v>
      </c>
      <c r="AJ172" s="552">
        <v>1</v>
      </c>
      <c r="AK172" s="552">
        <v>1</v>
      </c>
      <c r="AL172" s="552">
        <v>1</v>
      </c>
      <c r="AM172" s="552">
        <v>0</v>
      </c>
      <c r="AN172" s="552">
        <v>0</v>
      </c>
      <c r="AO172" s="552">
        <v>1</v>
      </c>
      <c r="AP172" s="552">
        <v>1</v>
      </c>
      <c r="AQ172" s="552">
        <v>1</v>
      </c>
      <c r="AR172" s="552">
        <v>1</v>
      </c>
      <c r="AS172" s="552">
        <v>1</v>
      </c>
      <c r="AT172" s="552">
        <v>1</v>
      </c>
      <c r="AU172" s="552">
        <v>1</v>
      </c>
      <c r="AV172" s="553" t="str">
        <f>IF(H172="YES","'"&amp;INDEX('Structure Groups'!$C$12:$C$14,MATCH('Load Criteria'!$B$5,'Structure Groups'!$B$12:$B$14,0),1)&amp;"'","'All'")</f>
        <v>'GL Max 800m'</v>
      </c>
      <c r="AW172" s="552" t="s">
        <v>562</v>
      </c>
      <c r="AX172" s="552"/>
      <c r="AY172" s="552" t="str">
        <f t="shared" si="50"/>
        <v>Yes</v>
      </c>
      <c r="AZ172" s="389" t="str">
        <f t="shared" si="157"/>
        <v>4:1:Back</v>
      </c>
      <c r="BA172" s="554" t="s">
        <v>572</v>
      </c>
      <c r="BB172" s="391">
        <v>40</v>
      </c>
      <c r="BC172" s="579" t="str">
        <f t="shared" si="109"/>
        <v>14:1:Ahead</v>
      </c>
      <c r="BD172" s="554" t="s">
        <v>572</v>
      </c>
      <c r="BE172" s="580">
        <f t="shared" si="160"/>
        <v>70</v>
      </c>
      <c r="BF172" s="389" t="str">
        <f t="shared" si="111"/>
        <v>4:1:Ahead</v>
      </c>
      <c r="BG172" s="554" t="str">
        <f t="shared" si="112"/>
        <v>% Wire Ice</v>
      </c>
      <c r="BH172" s="391">
        <v>70</v>
      </c>
      <c r="BI172" s="389" t="str">
        <f t="shared" si="113"/>
        <v>5:1:Back</v>
      </c>
      <c r="BJ172" s="554" t="s">
        <v>572</v>
      </c>
      <c r="BK172" s="391">
        <v>40</v>
      </c>
      <c r="BL172" s="579" t="str">
        <f t="shared" si="164"/>
        <v>15:1:Ahead</v>
      </c>
      <c r="BM172" s="554" t="s">
        <v>572</v>
      </c>
      <c r="BN172" s="580">
        <f t="shared" si="162"/>
        <v>70</v>
      </c>
      <c r="BO172" s="389" t="str">
        <f t="shared" si="116"/>
        <v>5:1:Ahead</v>
      </c>
      <c r="BP172" s="554" t="str">
        <f t="shared" si="117"/>
        <v>% Wire Ice</v>
      </c>
      <c r="BQ172" s="391">
        <v>70</v>
      </c>
      <c r="BR172" s="389" t="str">
        <f t="shared" si="118"/>
        <v>6:1:Back</v>
      </c>
      <c r="BS172" s="554" t="str">
        <f t="shared" si="119"/>
        <v>% Wire Ice</v>
      </c>
      <c r="BT172" s="391">
        <f t="shared" si="120"/>
        <v>40</v>
      </c>
      <c r="BU172" s="579" t="str">
        <f t="shared" si="165"/>
        <v>16:1:Ahead</v>
      </c>
      <c r="BV172" s="554" t="str">
        <f t="shared" si="122"/>
        <v>% Wire Ice</v>
      </c>
      <c r="BW172" s="580">
        <f t="shared" si="163"/>
        <v>70</v>
      </c>
      <c r="BX172" s="389" t="str">
        <f t="shared" si="124"/>
        <v>6:1:Ahead</v>
      </c>
      <c r="BY172" s="554" t="str">
        <f t="shared" si="125"/>
        <v>% Wire Ice</v>
      </c>
      <c r="BZ172" s="391">
        <f t="shared" si="126"/>
        <v>70</v>
      </c>
      <c r="CA172" s="389" t="str">
        <f t="shared" si="127"/>
        <v>1:1:Back+Ahead</v>
      </c>
      <c r="CB172" s="554" t="str">
        <f t="shared" si="128"/>
        <v>% Wire Ice</v>
      </c>
      <c r="CC172" s="391">
        <f t="shared" si="129"/>
        <v>70</v>
      </c>
      <c r="CD172" s="389" t="str">
        <f t="shared" si="130"/>
        <v>11:1:Ahead</v>
      </c>
      <c r="CE172" s="554" t="str">
        <f t="shared" si="131"/>
        <v>% Wire Ice</v>
      </c>
      <c r="CF172" s="391">
        <f t="shared" si="132"/>
        <v>70</v>
      </c>
      <c r="CG172" s="389" t="str">
        <f t="shared" si="133"/>
        <v>2:1:Back+Ahead</v>
      </c>
      <c r="CH172" s="554" t="str">
        <f t="shared" si="134"/>
        <v>% Wire Ice</v>
      </c>
      <c r="CI172" s="391">
        <f t="shared" si="135"/>
        <v>70</v>
      </c>
      <c r="CJ172" s="389" t="str">
        <f t="shared" si="136"/>
        <v>12:1:Ahead</v>
      </c>
      <c r="CK172" s="554" t="str">
        <f t="shared" si="137"/>
        <v>% Wire Ice</v>
      </c>
      <c r="CL172" s="391">
        <f t="shared" si="138"/>
        <v>70</v>
      </c>
      <c r="CM172" s="389" t="str">
        <f t="shared" si="139"/>
        <v>3:1:Back+Ahead</v>
      </c>
      <c r="CN172" s="554" t="str">
        <f t="shared" si="140"/>
        <v>% Wire Ice</v>
      </c>
      <c r="CO172" s="391">
        <f t="shared" si="141"/>
        <v>70</v>
      </c>
      <c r="CP172" s="554" t="str">
        <f t="shared" si="142"/>
        <v>13:1:Ahead</v>
      </c>
      <c r="CQ172" s="554" t="str">
        <f t="shared" si="143"/>
        <v>% Wire Ice</v>
      </c>
      <c r="CR172" s="554">
        <f t="shared" si="144"/>
        <v>70</v>
      </c>
      <c r="CS172" s="554" t="str">
        <f t="shared" si="145"/>
        <v>7:1:Back+Ahead</v>
      </c>
      <c r="CT172" s="554" t="str">
        <f t="shared" si="146"/>
        <v>% Wire Ice</v>
      </c>
      <c r="CU172" s="554">
        <f t="shared" si="147"/>
        <v>70</v>
      </c>
      <c r="CV172" s="554" t="str">
        <f t="shared" si="148"/>
        <v>17:1:Ahead</v>
      </c>
      <c r="CW172" s="554" t="str">
        <f t="shared" si="149"/>
        <v>% Wire Ice</v>
      </c>
      <c r="CX172" s="554">
        <f t="shared" si="150"/>
        <v>70</v>
      </c>
      <c r="CY172" s="554" t="str">
        <f t="shared" si="151"/>
        <v>8:1:Back+Ahead</v>
      </c>
      <c r="CZ172" s="554" t="str">
        <f t="shared" si="152"/>
        <v>% Wire Ice</v>
      </c>
      <c r="DA172" s="554">
        <f t="shared" si="153"/>
        <v>70</v>
      </c>
      <c r="DB172" s="554" t="str">
        <f t="shared" si="154"/>
        <v>18:1:Ahead</v>
      </c>
      <c r="DC172" s="554" t="str">
        <f t="shared" si="155"/>
        <v>% Wire Ice</v>
      </c>
      <c r="DD172" s="554">
        <f t="shared" si="156"/>
        <v>70</v>
      </c>
      <c r="DE172" s="534"/>
      <c r="DF172" s="534"/>
      <c r="DG172" s="534"/>
    </row>
    <row r="173" spans="1:111" ht="15" hidden="1" x14ac:dyDescent="0.25">
      <c r="A173" s="549" t="str">
        <f>IFERROR(IF(INDEX('Weather Cases'!$E$10:$E$94,MATCH('Load Criteria'!X173,'Weather Cases'!$H$10:$H$94,0),1)=1,1,"-"),"-")</f>
        <v>-</v>
      </c>
      <c r="B173" s="556" t="s">
        <v>22</v>
      </c>
      <c r="C173" s="556" t="s">
        <v>22</v>
      </c>
      <c r="D173" s="556" t="s">
        <v>22</v>
      </c>
      <c r="E173" s="556" t="s">
        <v>22</v>
      </c>
      <c r="F173" s="556" t="s">
        <v>22</v>
      </c>
      <c r="G173" s="556" t="str">
        <f>IFERROR(IF(MID('Load Criteria'!X173,FIND("_",'Load Criteria'!X173,1)+1,1)=LEFT(Control!$D$23,1),"YES","-"),"-")</f>
        <v>-</v>
      </c>
      <c r="H173" s="549" t="s">
        <v>22</v>
      </c>
      <c r="I173" s="480" t="s">
        <v>575</v>
      </c>
      <c r="J173" s="550"/>
      <c r="K173" s="550"/>
      <c r="L173" s="550"/>
      <c r="M173" s="550"/>
      <c r="N173" s="550"/>
      <c r="O173" s="550"/>
      <c r="P173" s="392"/>
      <c r="Q173" s="392"/>
      <c r="R173" s="392"/>
      <c r="S173" s="392"/>
      <c r="T173" s="392"/>
      <c r="U173" s="550"/>
      <c r="V173" s="551"/>
      <c r="W173" s="542"/>
      <c r="X173" s="552"/>
      <c r="Y173" s="552"/>
      <c r="Z173" s="552"/>
      <c r="AA173" s="552"/>
      <c r="AB173" s="552"/>
      <c r="AC173" s="552"/>
      <c r="AD173" s="552"/>
      <c r="AE173" s="552"/>
      <c r="AF173" s="552"/>
      <c r="AG173" s="542"/>
      <c r="AH173" s="552"/>
      <c r="AI173" s="552"/>
      <c r="AJ173" s="552"/>
      <c r="AK173" s="552"/>
      <c r="AL173" s="552"/>
      <c r="AM173" s="552"/>
      <c r="AN173" s="552"/>
      <c r="AO173" s="552"/>
      <c r="AP173" s="552"/>
      <c r="AQ173" s="552"/>
      <c r="AR173" s="552"/>
      <c r="AS173" s="552"/>
      <c r="AT173" s="552"/>
      <c r="AU173" s="552"/>
      <c r="AV173" s="553"/>
      <c r="AW173" s="552"/>
      <c r="AX173" s="552"/>
      <c r="AY173" s="552"/>
      <c r="AZ173" s="554"/>
      <c r="BA173" s="554"/>
      <c r="BB173" s="552"/>
      <c r="BC173" s="554"/>
      <c r="BD173" s="552"/>
      <c r="BE173" s="554"/>
      <c r="BF173" s="554"/>
      <c r="BG173" s="554"/>
      <c r="BH173" s="554"/>
      <c r="BI173" s="554"/>
      <c r="BJ173" s="554"/>
      <c r="BK173" s="554"/>
      <c r="BL173" s="554"/>
      <c r="BM173" s="554"/>
      <c r="BN173" s="554"/>
      <c r="BO173" s="554"/>
      <c r="BP173" s="554"/>
      <c r="BQ173" s="554"/>
      <c r="BR173" s="554"/>
      <c r="BS173" s="554"/>
      <c r="BT173" s="554"/>
      <c r="BU173" s="554"/>
      <c r="BV173" s="554"/>
      <c r="BW173" s="554"/>
      <c r="BX173" s="554"/>
      <c r="BY173" s="554"/>
      <c r="BZ173" s="554"/>
      <c r="CA173" s="554"/>
      <c r="CB173" s="554"/>
      <c r="CC173" s="554"/>
      <c r="CD173" s="554"/>
      <c r="CE173" s="554"/>
      <c r="CF173" s="554"/>
      <c r="CG173" s="554"/>
      <c r="CH173" s="554"/>
      <c r="CI173" s="554"/>
      <c r="CJ173" s="554"/>
      <c r="CK173" s="554"/>
      <c r="CL173" s="554"/>
      <c r="CM173" s="554"/>
      <c r="CN173" s="554"/>
      <c r="CO173" s="554"/>
      <c r="CP173" s="554"/>
      <c r="CQ173" s="554"/>
      <c r="CR173" s="554"/>
      <c r="CS173" s="554"/>
      <c r="CT173" s="554"/>
      <c r="CU173" s="554"/>
      <c r="CV173" s="554"/>
      <c r="CW173" s="554"/>
      <c r="CX173" s="554"/>
      <c r="CY173" s="554"/>
      <c r="CZ173" s="554"/>
      <c r="DA173" s="554"/>
      <c r="DB173" s="554"/>
      <c r="DC173" s="554"/>
      <c r="DD173" s="554"/>
      <c r="DE173" s="534"/>
      <c r="DF173" s="534"/>
      <c r="DG173" s="534"/>
    </row>
    <row r="174" spans="1:111" ht="15" x14ac:dyDescent="0.25">
      <c r="A174" s="549">
        <f>IFERROR(IF(INDEX('Weather Cases'!$E$10:$E$94,MATCH('Load Criteria'!X174,'Weather Cases'!$H$10:$H$94,0),1)=1,1,"-"),"-")</f>
        <v>1</v>
      </c>
      <c r="B174" s="555" t="s">
        <v>558</v>
      </c>
      <c r="C174" s="556" t="str">
        <f>IF('Weather Cases'!$E$41=0,"","DC/SC")</f>
        <v>DC/SC</v>
      </c>
      <c r="D174" s="555" t="s">
        <v>567</v>
      </c>
      <c r="E174" s="556" t="s">
        <v>22</v>
      </c>
      <c r="F174" s="556" t="s">
        <v>22</v>
      </c>
      <c r="G174" s="556" t="str">
        <f>IFERROR(IF(MID('Load Criteria'!X174,FIND("_",'Load Criteria'!X174,1)+1,1)=LEFT(Control!$D$23,1),"YES","-"),"-")</f>
        <v>YES</v>
      </c>
      <c r="H174" s="549" t="str">
        <f>IF(INDEX('Weather Cases'!$G$10:$G$94,MATCH('Load Criteria'!X174,'Weather Cases'!$H$10:$H$94,0),1)="H","YES","")</f>
        <v>YES</v>
      </c>
      <c r="I174" s="557" t="s">
        <v>320</v>
      </c>
      <c r="J174" s="550">
        <v>50</v>
      </c>
      <c r="K174" s="508" t="s">
        <v>88</v>
      </c>
      <c r="L174" s="508"/>
      <c r="M174" s="508"/>
      <c r="N174" s="508"/>
      <c r="O174" s="508"/>
      <c r="P174" s="395"/>
      <c r="Q174" s="395"/>
      <c r="R174" s="395"/>
      <c r="S174" s="395"/>
      <c r="T174" s="395"/>
      <c r="U174" s="255" t="s">
        <v>568</v>
      </c>
      <c r="V174" s="551" t="s">
        <v>300</v>
      </c>
      <c r="W174" s="542" t="str">
        <f t="shared" si="51"/>
        <v>TI0050_A8+E NA+</v>
      </c>
      <c r="X174" s="552" t="str">
        <f>I174&amp;TEXT(J174,"0000")&amp;"_"&amp;LEFT(Control!$D$23,1)&amp;LEFT(Control!$D$22,LEN(Control!$D$22)-2)</f>
        <v>TI0050_A8</v>
      </c>
      <c r="Y174" s="552" t="s">
        <v>433</v>
      </c>
      <c r="Z174" s="552" t="str">
        <f>U174</f>
        <v>NA+</v>
      </c>
      <c r="AA174" s="552"/>
      <c r="AB174" s="552">
        <v>1</v>
      </c>
      <c r="AC174" s="552">
        <v>1</v>
      </c>
      <c r="AD174" s="552">
        <v>1</v>
      </c>
      <c r="AE174" s="552">
        <v>1</v>
      </c>
      <c r="AF174" s="552">
        <v>1</v>
      </c>
      <c r="AG174" s="542" t="s">
        <v>561</v>
      </c>
      <c r="AH174" s="552">
        <v>0</v>
      </c>
      <c r="AI174" s="552">
        <v>0</v>
      </c>
      <c r="AJ174" s="552">
        <v>1</v>
      </c>
      <c r="AK174" s="552">
        <v>1</v>
      </c>
      <c r="AL174" s="552">
        <v>1</v>
      </c>
      <c r="AM174" s="552">
        <v>0</v>
      </c>
      <c r="AN174" s="552">
        <v>0</v>
      </c>
      <c r="AO174" s="552">
        <v>1</v>
      </c>
      <c r="AP174" s="552">
        <v>1</v>
      </c>
      <c r="AQ174" s="552">
        <v>1</v>
      </c>
      <c r="AR174" s="552">
        <v>1</v>
      </c>
      <c r="AS174" s="552">
        <v>1</v>
      </c>
      <c r="AT174" s="552">
        <v>1</v>
      </c>
      <c r="AU174" s="552">
        <v>1</v>
      </c>
      <c r="AV174" s="553" t="str">
        <f>IF(H174="YES","'"&amp;INDEX('Structure Groups'!$C$12:$C$14,MATCH('Load Criteria'!$B$5,'Structure Groups'!$B$12:$B$14,0),1)&amp;"'","'All'")</f>
        <v>'GL Max 800m'</v>
      </c>
      <c r="AW174" s="552" t="s">
        <v>562</v>
      </c>
      <c r="AX174" s="552"/>
      <c r="AY174" s="552" t="str">
        <f t="shared" ref="AY174:AY195" si="166">IF(L174="","No","Yes")</f>
        <v>No</v>
      </c>
      <c r="AZ174" s="554" t="str">
        <f>IF(AY174="No","",IF(L174="A","Ahead Spans","Back Spans"))</f>
        <v/>
      </c>
      <c r="BA174" s="554"/>
      <c r="BB174" s="552"/>
      <c r="BC174" s="554"/>
      <c r="BD174" s="552"/>
      <c r="BE174" s="554"/>
      <c r="BF174" s="554"/>
      <c r="BG174" s="554"/>
      <c r="BH174" s="554"/>
      <c r="BI174" s="554"/>
      <c r="BJ174" s="554"/>
      <c r="BK174" s="554"/>
      <c r="BL174" s="554"/>
      <c r="BM174" s="554"/>
      <c r="BN174" s="554"/>
      <c r="BO174" s="554"/>
      <c r="BP174" s="554"/>
      <c r="BQ174" s="554"/>
      <c r="BR174" s="554"/>
      <c r="BS174" s="554"/>
      <c r="BT174" s="554"/>
      <c r="BU174" s="554"/>
      <c r="BV174" s="554"/>
      <c r="BW174" s="554"/>
      <c r="BX174" s="554"/>
      <c r="BY174" s="554"/>
      <c r="BZ174" s="554"/>
      <c r="CA174" s="554"/>
      <c r="CB174" s="554"/>
      <c r="CC174" s="554"/>
      <c r="CD174" s="554"/>
      <c r="CE174" s="554"/>
      <c r="CF174" s="554"/>
      <c r="CG174" s="554"/>
      <c r="CH174" s="554"/>
      <c r="CI174" s="554"/>
      <c r="CJ174" s="554"/>
      <c r="CK174" s="554"/>
      <c r="CL174" s="554"/>
      <c r="CM174" s="554"/>
      <c r="CN174" s="554"/>
      <c r="CO174" s="554"/>
      <c r="CP174" s="554"/>
      <c r="CQ174" s="554"/>
      <c r="CR174" s="554"/>
      <c r="CS174" s="554"/>
      <c r="CT174" s="554"/>
      <c r="CU174" s="554"/>
      <c r="CV174" s="554"/>
      <c r="CW174" s="554"/>
      <c r="CX174" s="554"/>
      <c r="CY174" s="554"/>
      <c r="CZ174" s="554"/>
      <c r="DA174" s="554"/>
      <c r="DB174" s="554"/>
      <c r="DC174" s="554"/>
      <c r="DD174" s="554"/>
      <c r="DE174" s="534"/>
      <c r="DF174" s="534"/>
      <c r="DG174" s="534"/>
    </row>
    <row r="175" spans="1:111" ht="15" x14ac:dyDescent="0.25">
      <c r="A175" s="549">
        <f>IFERROR(IF(INDEX('Weather Cases'!$E$10:$E$94,MATCH('Load Criteria'!X175,'Weather Cases'!$H$10:$H$94,0),1)=1,1,"-"),"-")</f>
        <v>1</v>
      </c>
      <c r="B175" s="555" t="s">
        <v>558</v>
      </c>
      <c r="C175" s="556" t="str">
        <f>IF('Weather Cases'!$E$41=0,"","DC/SC")</f>
        <v>DC/SC</v>
      </c>
      <c r="D175" s="555" t="s">
        <v>567</v>
      </c>
      <c r="E175" s="556" t="s">
        <v>22</v>
      </c>
      <c r="F175" s="556" t="s">
        <v>22</v>
      </c>
      <c r="G175" s="556" t="str">
        <f>IFERROR(IF(MID('Load Criteria'!X175,FIND("_",'Load Criteria'!X175,1)+1,1)=LEFT(Control!$D$23,1),"YES","-"),"-")</f>
        <v>YES</v>
      </c>
      <c r="H175" s="549" t="str">
        <f>IF(INDEX('Weather Cases'!$G$10:$G$94,MATCH('Load Criteria'!X175,'Weather Cases'!$H$10:$H$94,0),1)="H","YES","")</f>
        <v>YES</v>
      </c>
      <c r="I175" s="557" t="s">
        <v>320</v>
      </c>
      <c r="J175" s="550">
        <v>50</v>
      </c>
      <c r="K175" s="508" t="s">
        <v>569</v>
      </c>
      <c r="L175" s="508" t="s">
        <v>24</v>
      </c>
      <c r="M175" s="508"/>
      <c r="N175" s="508"/>
      <c r="O175" s="508"/>
      <c r="P175" s="395"/>
      <c r="Q175" s="395"/>
      <c r="R175" s="395"/>
      <c r="S175" s="395"/>
      <c r="T175" s="395"/>
      <c r="U175" s="255" t="s">
        <v>568</v>
      </c>
      <c r="V175" s="551" t="s">
        <v>300</v>
      </c>
      <c r="W175" s="542" t="str">
        <f t="shared" si="51"/>
        <v>TI0050_A8+LA NA+</v>
      </c>
      <c r="X175" s="552" t="str">
        <f>I175&amp;TEXT(J175,"0000")&amp;"_"&amp;LEFT(Control!$D$23,1)&amp;LEFT(Control!$D$22,LEN(Control!$D$22)-2)</f>
        <v>TI0050_A8</v>
      </c>
      <c r="Y175" s="552" t="s">
        <v>433</v>
      </c>
      <c r="Z175" s="552" t="str">
        <f>U175</f>
        <v>NA+</v>
      </c>
      <c r="AA175" s="552"/>
      <c r="AB175" s="552">
        <v>1</v>
      </c>
      <c r="AC175" s="552">
        <v>1</v>
      </c>
      <c r="AD175" s="552">
        <v>1</v>
      </c>
      <c r="AE175" s="552">
        <v>1</v>
      </c>
      <c r="AF175" s="552">
        <v>1</v>
      </c>
      <c r="AG175" s="542" t="s">
        <v>561</v>
      </c>
      <c r="AH175" s="552">
        <v>0</v>
      </c>
      <c r="AI175" s="552">
        <v>0</v>
      </c>
      <c r="AJ175" s="552">
        <v>1</v>
      </c>
      <c r="AK175" s="552">
        <v>1</v>
      </c>
      <c r="AL175" s="552">
        <v>1</v>
      </c>
      <c r="AM175" s="552">
        <v>0</v>
      </c>
      <c r="AN175" s="552">
        <v>0</v>
      </c>
      <c r="AO175" s="552">
        <v>1</v>
      </c>
      <c r="AP175" s="552">
        <v>1</v>
      </c>
      <c r="AQ175" s="552">
        <v>1</v>
      </c>
      <c r="AR175" s="552">
        <v>1</v>
      </c>
      <c r="AS175" s="552">
        <v>1</v>
      </c>
      <c r="AT175" s="552">
        <v>1</v>
      </c>
      <c r="AU175" s="552">
        <v>1</v>
      </c>
      <c r="AV175" s="553" t="str">
        <f>IF(H175="YES","'"&amp;INDEX('Structure Groups'!$C$12:$C$14,MATCH('Load Criteria'!$B$5,'Structure Groups'!$B$12:$B$14,0),1)&amp;"'","'All'")</f>
        <v>'GL Max 800m'</v>
      </c>
      <c r="AW175" s="552" t="s">
        <v>562</v>
      </c>
      <c r="AX175" s="552"/>
      <c r="AY175" s="552" t="str">
        <f t="shared" si="166"/>
        <v>Yes</v>
      </c>
      <c r="AZ175" s="554" t="str">
        <f>IF($AY175="No","",IF($L175="A","Ahead Spans","Back Spans"))</f>
        <v>Ahead Spans</v>
      </c>
      <c r="BA175" s="554" t="str">
        <f>IF(AZ175="","","% Wire Ice")</f>
        <v>% Wire Ice</v>
      </c>
      <c r="BB175" s="552">
        <f>IF(AZ175="","",40)</f>
        <v>40</v>
      </c>
      <c r="BC175" s="554" t="str">
        <f>IF($AY175="No","",IF($L175="A","Back Spans","Ahead Spans"))</f>
        <v>Back Spans</v>
      </c>
      <c r="BD175" s="554" t="str">
        <f t="shared" ref="BD175:BD176" si="167">IF(BC175="","","% Wire Ice")</f>
        <v>% Wire Ice</v>
      </c>
      <c r="BE175" s="552">
        <f>IF(BB175="","",70)</f>
        <v>70</v>
      </c>
      <c r="BF175" s="554"/>
      <c r="BG175" s="554"/>
      <c r="BH175" s="554"/>
      <c r="BI175" s="554"/>
      <c r="BJ175" s="554"/>
      <c r="BK175" s="554"/>
      <c r="BL175" s="554"/>
      <c r="BM175" s="554"/>
      <c r="BN175" s="554"/>
      <c r="BO175" s="554"/>
      <c r="BP175" s="554"/>
      <c r="BQ175" s="554"/>
      <c r="BR175" s="554"/>
      <c r="BS175" s="554"/>
      <c r="BT175" s="554"/>
      <c r="BU175" s="554"/>
      <c r="BV175" s="554"/>
      <c r="BW175" s="554"/>
      <c r="BX175" s="554"/>
      <c r="BY175" s="554"/>
      <c r="BZ175" s="554"/>
      <c r="CA175" s="554"/>
      <c r="CB175" s="554"/>
      <c r="CC175" s="554"/>
      <c r="CD175" s="554"/>
      <c r="CE175" s="554"/>
      <c r="CF175" s="554"/>
      <c r="CG175" s="554"/>
      <c r="CH175" s="554"/>
      <c r="CI175" s="554"/>
      <c r="CJ175" s="554"/>
      <c r="CK175" s="554"/>
      <c r="CL175" s="554"/>
      <c r="CM175" s="554"/>
      <c r="CN175" s="554"/>
      <c r="CO175" s="554"/>
      <c r="CP175" s="554"/>
      <c r="CQ175" s="554"/>
      <c r="CR175" s="554"/>
      <c r="CS175" s="554"/>
      <c r="CT175" s="554"/>
      <c r="CU175" s="554"/>
      <c r="CV175" s="554"/>
      <c r="CW175" s="554"/>
      <c r="CX175" s="554"/>
      <c r="CY175" s="554"/>
      <c r="CZ175" s="554"/>
      <c r="DA175" s="554"/>
      <c r="DB175" s="554"/>
      <c r="DC175" s="554"/>
      <c r="DD175" s="554"/>
      <c r="DE175" s="534"/>
      <c r="DF175" s="534"/>
      <c r="DG175" s="534"/>
    </row>
    <row r="176" spans="1:111" ht="15" x14ac:dyDescent="0.25">
      <c r="A176" s="549">
        <f>IFERROR(IF(INDEX('Weather Cases'!$E$10:$E$94,MATCH('Load Criteria'!X176,'Weather Cases'!$H$10:$H$94,0),1)=1,1,"-"),"-")</f>
        <v>1</v>
      </c>
      <c r="B176" s="555" t="s">
        <v>558</v>
      </c>
      <c r="C176" s="556" t="str">
        <f>IF('Weather Cases'!$E$41=0,"","DC/SC")</f>
        <v>DC/SC</v>
      </c>
      <c r="D176" s="555" t="s">
        <v>567</v>
      </c>
      <c r="E176" s="556" t="s">
        <v>22</v>
      </c>
      <c r="F176" s="556" t="s">
        <v>22</v>
      </c>
      <c r="G176" s="556" t="str">
        <f>IFERROR(IF(MID('Load Criteria'!X176,FIND("_",'Load Criteria'!X176,1)+1,1)=LEFT(Control!$D$23,1),"YES","-"),"-")</f>
        <v>YES</v>
      </c>
      <c r="H176" s="549" t="str">
        <f>IF(INDEX('Weather Cases'!$G$10:$G$94,MATCH('Load Criteria'!X176,'Weather Cases'!$H$10:$H$94,0),1)="H","YES","")</f>
        <v>YES</v>
      </c>
      <c r="I176" s="557" t="s">
        <v>320</v>
      </c>
      <c r="J176" s="550">
        <v>50</v>
      </c>
      <c r="K176" s="508" t="s">
        <v>569</v>
      </c>
      <c r="L176" s="508" t="s">
        <v>40</v>
      </c>
      <c r="M176" s="508"/>
      <c r="N176" s="508"/>
      <c r="O176" s="508"/>
      <c r="P176" s="395"/>
      <c r="Q176" s="395"/>
      <c r="R176" s="395"/>
      <c r="S176" s="395"/>
      <c r="T176" s="395"/>
      <c r="U176" s="255" t="s">
        <v>568</v>
      </c>
      <c r="V176" s="551" t="s">
        <v>300</v>
      </c>
      <c r="W176" s="542" t="str">
        <f t="shared" si="51"/>
        <v>TI0050_A8+LB NA+</v>
      </c>
      <c r="X176" s="552" t="str">
        <f>I176&amp;TEXT(J176,"0000")&amp;"_"&amp;LEFT(Control!$D$23,1)&amp;LEFT(Control!$D$22,LEN(Control!$D$22)-2)</f>
        <v>TI0050_A8</v>
      </c>
      <c r="Y176" s="552" t="s">
        <v>433</v>
      </c>
      <c r="Z176" s="552" t="str">
        <f>U176</f>
        <v>NA+</v>
      </c>
      <c r="AA176" s="552"/>
      <c r="AB176" s="552">
        <v>1</v>
      </c>
      <c r="AC176" s="552">
        <v>1</v>
      </c>
      <c r="AD176" s="552">
        <v>1</v>
      </c>
      <c r="AE176" s="552">
        <v>1</v>
      </c>
      <c r="AF176" s="552">
        <v>1</v>
      </c>
      <c r="AG176" s="542" t="s">
        <v>561</v>
      </c>
      <c r="AH176" s="552">
        <v>0</v>
      </c>
      <c r="AI176" s="552">
        <v>0</v>
      </c>
      <c r="AJ176" s="552">
        <v>1</v>
      </c>
      <c r="AK176" s="552">
        <v>1</v>
      </c>
      <c r="AL176" s="552">
        <v>1</v>
      </c>
      <c r="AM176" s="552">
        <v>0</v>
      </c>
      <c r="AN176" s="552">
        <v>0</v>
      </c>
      <c r="AO176" s="552">
        <v>1</v>
      </c>
      <c r="AP176" s="552">
        <v>1</v>
      </c>
      <c r="AQ176" s="552">
        <v>1</v>
      </c>
      <c r="AR176" s="552">
        <v>1</v>
      </c>
      <c r="AS176" s="552">
        <v>1</v>
      </c>
      <c r="AT176" s="552">
        <v>1</v>
      </c>
      <c r="AU176" s="552">
        <v>1</v>
      </c>
      <c r="AV176" s="553" t="str">
        <f>IF(H176="YES","'"&amp;INDEX('Structure Groups'!$C$12:$C$14,MATCH('Load Criteria'!$B$5,'Structure Groups'!$B$12:$B$14,0),1)&amp;"'","'All'")</f>
        <v>'GL Max 800m'</v>
      </c>
      <c r="AW176" s="552" t="s">
        <v>562</v>
      </c>
      <c r="AX176" s="552"/>
      <c r="AY176" s="552" t="str">
        <f t="shared" si="166"/>
        <v>Yes</v>
      </c>
      <c r="AZ176" s="554" t="str">
        <f>IF($AY176="No","",IF($L176="A","Ahead Spans","Back Spans"))</f>
        <v>Back Spans</v>
      </c>
      <c r="BA176" s="554" t="str">
        <f>IF(AZ176="","","% Wire Ice")</f>
        <v>% Wire Ice</v>
      </c>
      <c r="BB176" s="552">
        <f>IF(AZ176="","",40)</f>
        <v>40</v>
      </c>
      <c r="BC176" s="554" t="str">
        <f>IF($AY176="No","",IF($L176="A","Back Spans","Ahead Spans"))</f>
        <v>Ahead Spans</v>
      </c>
      <c r="BD176" s="554" t="str">
        <f t="shared" si="167"/>
        <v>% Wire Ice</v>
      </c>
      <c r="BE176" s="552">
        <f>IF(BB176="","",70)</f>
        <v>70</v>
      </c>
      <c r="BF176" s="554"/>
      <c r="BG176" s="554"/>
      <c r="BH176" s="554"/>
      <c r="BI176" s="554"/>
      <c r="BJ176" s="554"/>
      <c r="BK176" s="554"/>
      <c r="BL176" s="554"/>
      <c r="BM176" s="554"/>
      <c r="BN176" s="554"/>
      <c r="BO176" s="554"/>
      <c r="BP176" s="554"/>
      <c r="BQ176" s="554"/>
      <c r="BR176" s="554"/>
      <c r="BS176" s="554"/>
      <c r="BT176" s="554"/>
      <c r="BU176" s="554"/>
      <c r="BV176" s="554"/>
      <c r="BW176" s="554"/>
      <c r="BX176" s="554"/>
      <c r="BY176" s="554"/>
      <c r="BZ176" s="554"/>
      <c r="CA176" s="554"/>
      <c r="CB176" s="554"/>
      <c r="CC176" s="554"/>
      <c r="CD176" s="554"/>
      <c r="CE176" s="554"/>
      <c r="CF176" s="554"/>
      <c r="CG176" s="554"/>
      <c r="CH176" s="554"/>
      <c r="CI176" s="554"/>
      <c r="CJ176" s="554"/>
      <c r="CK176" s="554"/>
      <c r="CL176" s="554"/>
      <c r="CM176" s="554"/>
      <c r="CN176" s="554"/>
      <c r="CO176" s="554"/>
      <c r="CP176" s="554"/>
      <c r="CQ176" s="554"/>
      <c r="CR176" s="554"/>
      <c r="CS176" s="554"/>
      <c r="CT176" s="554"/>
      <c r="CU176" s="554"/>
      <c r="CV176" s="554"/>
      <c r="CW176" s="554"/>
      <c r="CX176" s="554"/>
      <c r="CY176" s="554"/>
      <c r="CZ176" s="554"/>
      <c r="DA176" s="554"/>
      <c r="DB176" s="554"/>
      <c r="DC176" s="554"/>
      <c r="DD176" s="554"/>
      <c r="DE176" s="534"/>
      <c r="DF176" s="534"/>
      <c r="DG176" s="534"/>
    </row>
    <row r="177" spans="1:111" ht="15" hidden="1" x14ac:dyDescent="0.25">
      <c r="A177" s="549">
        <f>IFERROR(IF(INDEX('Weather Cases'!$E$10:$E$94,MATCH('Load Criteria'!X177,'Weather Cases'!$H$10:$H$94,0),1)=1,1,"-"),"-")</f>
        <v>1</v>
      </c>
      <c r="B177" s="555" t="s">
        <v>558</v>
      </c>
      <c r="C177" s="556" t="str">
        <f>IF('Weather Cases'!$E$41=0,"","SC")</f>
        <v>SC</v>
      </c>
      <c r="D177" s="555" t="s">
        <v>567</v>
      </c>
      <c r="E177" s="556" t="s">
        <v>22</v>
      </c>
      <c r="F177" s="556" t="s">
        <v>22</v>
      </c>
      <c r="G177" s="556" t="str">
        <f>IFERROR(IF(MID('Load Criteria'!X177,FIND("_",'Load Criteria'!X177,1)+1,1)=LEFT(Control!$D$23,1),"YES","-"),"-")</f>
        <v>YES</v>
      </c>
      <c r="H177" s="549" t="str">
        <f>IF(INDEX('Weather Cases'!$G$10:$G$94,MATCH('Load Criteria'!X177,'Weather Cases'!$H$10:$H$94,0),1)="H","YES","")</f>
        <v>YES</v>
      </c>
      <c r="I177" s="557" t="s">
        <v>320</v>
      </c>
      <c r="J177" s="550">
        <v>50</v>
      </c>
      <c r="K177" s="508" t="s">
        <v>571</v>
      </c>
      <c r="L177" s="508" t="s">
        <v>24</v>
      </c>
      <c r="M177" s="508">
        <v>1</v>
      </c>
      <c r="N177" s="508">
        <v>2</v>
      </c>
      <c r="O177" s="508"/>
      <c r="P177" s="395">
        <v>3</v>
      </c>
      <c r="Q177" s="395">
        <v>7</v>
      </c>
      <c r="R177" s="395">
        <v>8</v>
      </c>
      <c r="S177" s="395"/>
      <c r="T177" s="395"/>
      <c r="U177" s="255" t="s">
        <v>568</v>
      </c>
      <c r="V177" s="551" t="s">
        <v>300</v>
      </c>
      <c r="W177" s="542" t="str">
        <f t="shared" si="51"/>
        <v>TI0050_A8+TA12 NA+</v>
      </c>
      <c r="X177" s="552" t="str">
        <f>I177&amp;TEXT(J177,"0000")&amp;"_"&amp;LEFT(Control!$D$23,1)&amp;LEFT(Control!$D$22,LEN(Control!$D$22)-2)</f>
        <v>TI0050_A8</v>
      </c>
      <c r="Y177" s="552" t="s">
        <v>433</v>
      </c>
      <c r="Z177" s="552" t="str">
        <f>U177</f>
        <v>NA+</v>
      </c>
      <c r="AA177" s="552"/>
      <c r="AB177" s="552">
        <v>1</v>
      </c>
      <c r="AC177" s="552">
        <v>1</v>
      </c>
      <c r="AD177" s="552">
        <v>1</v>
      </c>
      <c r="AE177" s="552">
        <v>1</v>
      </c>
      <c r="AF177" s="552">
        <v>1</v>
      </c>
      <c r="AG177" s="542" t="s">
        <v>561</v>
      </c>
      <c r="AH177" s="552">
        <v>0</v>
      </c>
      <c r="AI177" s="552">
        <v>0</v>
      </c>
      <c r="AJ177" s="552">
        <v>1</v>
      </c>
      <c r="AK177" s="552">
        <v>1</v>
      </c>
      <c r="AL177" s="552">
        <v>1</v>
      </c>
      <c r="AM177" s="552">
        <v>0</v>
      </c>
      <c r="AN177" s="552">
        <v>0</v>
      </c>
      <c r="AO177" s="552">
        <v>1</v>
      </c>
      <c r="AP177" s="552">
        <v>1</v>
      </c>
      <c r="AQ177" s="552">
        <v>1</v>
      </c>
      <c r="AR177" s="552">
        <v>1</v>
      </c>
      <c r="AS177" s="552">
        <v>1</v>
      </c>
      <c r="AT177" s="552">
        <v>1</v>
      </c>
      <c r="AU177" s="552"/>
      <c r="AV177" s="553" t="str">
        <f>IF(H177="YES","'"&amp;INDEX('Structure Groups'!$C$12:$C$14,MATCH('Load Criteria'!$B$5,'Structure Groups'!$B$12:$B$14,0),1)&amp;"'","'All'")</f>
        <v>'GL Max 800m'</v>
      </c>
      <c r="AW177" s="552" t="s">
        <v>562</v>
      </c>
      <c r="AX177" s="552"/>
      <c r="AY177" s="552" t="str">
        <f t="shared" si="166"/>
        <v>Yes</v>
      </c>
      <c r="AZ177" s="389" t="str">
        <f>$M177&amp;":1:"&amp;IF($L177="A","Ahead","Back")</f>
        <v>1:1:Ahead</v>
      </c>
      <c r="BA177" s="554" t="s">
        <v>572</v>
      </c>
      <c r="BB177" s="391">
        <v>40</v>
      </c>
      <c r="BC177" s="579" t="str">
        <f t="shared" ref="BC177:BC184" si="168">$M177+10&amp;":1:"&amp;"Ahead"</f>
        <v>11:1:Ahead</v>
      </c>
      <c r="BD177" s="554" t="s">
        <v>572</v>
      </c>
      <c r="BE177" s="580">
        <f t="shared" ref="BE177" si="169">IF($L177="A",40,70)</f>
        <v>40</v>
      </c>
      <c r="BF177" s="389" t="str">
        <f>$M177&amp;":1:"&amp;IF($L177="A","Back","Ahead")</f>
        <v>1:1:Back</v>
      </c>
      <c r="BG177" s="554" t="str">
        <f>IF(BF177="","","% Wire Ice")</f>
        <v>% Wire Ice</v>
      </c>
      <c r="BH177" s="391">
        <v>70</v>
      </c>
      <c r="BI177" s="389" t="str">
        <f>$N177&amp;":1:"&amp;IF($L177="A","Ahead","Back")</f>
        <v>2:1:Ahead</v>
      </c>
      <c r="BJ177" s="554" t="s">
        <v>572</v>
      </c>
      <c r="BK177" s="391">
        <v>40</v>
      </c>
      <c r="BL177" s="579" t="str">
        <f t="shared" ref="BL177" si="170">$N177+10&amp;":1:"&amp;"Ahead"</f>
        <v>12:1:Ahead</v>
      </c>
      <c r="BM177" s="554" t="s">
        <v>572</v>
      </c>
      <c r="BN177" s="580">
        <f t="shared" ref="BN177" si="171">IF($L177="A",40,70)</f>
        <v>40</v>
      </c>
      <c r="BO177" s="389" t="str">
        <f>$N177&amp;":1:"&amp;IF($L177="A","Back","Ahead")</f>
        <v>2:1:Back</v>
      </c>
      <c r="BP177" s="554" t="str">
        <f>IF(BO177="","","% Wire Ice")</f>
        <v>% Wire Ice</v>
      </c>
      <c r="BQ177" s="391">
        <v>70</v>
      </c>
      <c r="BR177" s="389" t="str">
        <f>IF($O177="","",$O177&amp;":1:"&amp;IF($L177="A","Ahead","Back"))</f>
        <v/>
      </c>
      <c r="BS177" s="554" t="str">
        <f>IF($O177="","","% Wire Ice")</f>
        <v/>
      </c>
      <c r="BT177" s="391" t="str">
        <f>IF($O177="","",40)</f>
        <v/>
      </c>
      <c r="BU177" s="389" t="str">
        <f>IF($O177="","",$O177+10&amp;":1:"&amp;IF($L177="A","Ahead","Back"))</f>
        <v/>
      </c>
      <c r="BV177" s="554" t="str">
        <f>IF($O177="","","% Wire Ice")</f>
        <v/>
      </c>
      <c r="BW177" s="391" t="str">
        <f>IF($O177="","",40)</f>
        <v/>
      </c>
      <c r="BX177" s="389" t="str">
        <f>IF($O177="","",$O177&amp;":1:"&amp;IF($L177="A","Back","Ahead"))</f>
        <v/>
      </c>
      <c r="BY177" s="554" t="str">
        <f>IF($O177="","","% Wire Ice")</f>
        <v/>
      </c>
      <c r="BZ177" s="391" t="str">
        <f>IF($O177="","",70)</f>
        <v/>
      </c>
      <c r="CA177" s="389" t="str">
        <f>IF($P177="","",$P177&amp;":1:Back+Ahead")</f>
        <v>3:1:Back+Ahead</v>
      </c>
      <c r="CB177" s="554" t="str">
        <f>IF($P177="","","% Wire Ice")</f>
        <v>% Wire Ice</v>
      </c>
      <c r="CC177" s="391">
        <f>IF($P177="","",70)</f>
        <v>70</v>
      </c>
      <c r="CD177" s="389" t="str">
        <f>IF($P177="","",$P177+10&amp;":1:Ahead")</f>
        <v>13:1:Ahead</v>
      </c>
      <c r="CE177" s="554" t="str">
        <f>IF($P177="","","% Wire Ice")</f>
        <v>% Wire Ice</v>
      </c>
      <c r="CF177" s="391">
        <f>IF($P177="","",70)</f>
        <v>70</v>
      </c>
      <c r="CG177" s="389" t="str">
        <f>IF($Q177="","",$Q177&amp;":1:Back+Ahead")</f>
        <v>7:1:Back+Ahead</v>
      </c>
      <c r="CH177" s="554" t="str">
        <f>IF($Q177="","","% Wire Ice")</f>
        <v>% Wire Ice</v>
      </c>
      <c r="CI177" s="391">
        <f>IF($Q177="","",70)</f>
        <v>70</v>
      </c>
      <c r="CJ177" s="389" t="str">
        <f>IF($Q177="","",$Q177+10&amp;":1:Ahead")</f>
        <v>17:1:Ahead</v>
      </c>
      <c r="CK177" s="554" t="str">
        <f>IF($Q177="","","% Wire Ice")</f>
        <v>% Wire Ice</v>
      </c>
      <c r="CL177" s="391">
        <f>IF($Q177="","",70)</f>
        <v>70</v>
      </c>
      <c r="CM177" s="389" t="str">
        <f>IF($R177="","",$R177&amp;":1:Back+Ahead")</f>
        <v>8:1:Back+Ahead</v>
      </c>
      <c r="CN177" s="554" t="str">
        <f>IF($R177="","","% Wire Ice")</f>
        <v>% Wire Ice</v>
      </c>
      <c r="CO177" s="391">
        <f>IF($R177="","",70)</f>
        <v>70</v>
      </c>
      <c r="CP177" s="554" t="str">
        <f>IF($R177="","",$R177+10&amp;":1:Ahead")</f>
        <v>18:1:Ahead</v>
      </c>
      <c r="CQ177" s="554" t="str">
        <f>IF($R177="","","% Wire Ice")</f>
        <v>% Wire Ice</v>
      </c>
      <c r="CR177" s="554">
        <f>IF($R177="","",70)</f>
        <v>70</v>
      </c>
      <c r="CS177" s="554" t="str">
        <f>IF($S177="","",$S177&amp;":1:Back+Ahead")</f>
        <v/>
      </c>
      <c r="CT177" s="554" t="str">
        <f>IF($S177="","","% Wire Ice")</f>
        <v/>
      </c>
      <c r="CU177" s="554" t="str">
        <f>IF($S177="","",70)</f>
        <v/>
      </c>
      <c r="CV177" s="554" t="str">
        <f>IF($S177="","",$S177+10&amp;":1:Ahead")</f>
        <v/>
      </c>
      <c r="CW177" s="554" t="str">
        <f>IF($S177="","","% Wire Ice")</f>
        <v/>
      </c>
      <c r="CX177" s="554" t="str">
        <f>IF($S177="","",70)</f>
        <v/>
      </c>
      <c r="CY177" s="554" t="str">
        <f>IF($T177="","",$T177&amp;":1:Back+Ahead")</f>
        <v/>
      </c>
      <c r="CZ177" s="554" t="str">
        <f>IF($T177="","","% Wire Ice")</f>
        <v/>
      </c>
      <c r="DA177" s="554" t="str">
        <f>IF($T177="","",70)</f>
        <v/>
      </c>
      <c r="DB177" s="554" t="str">
        <f>IF($T177="","",$T177+10&amp;":1:Ahead")</f>
        <v/>
      </c>
      <c r="DC177" s="554" t="str">
        <f>IF($T177="","","% Wire Ice")</f>
        <v/>
      </c>
      <c r="DD177" s="554" t="str">
        <f>IF($T177="","",70)</f>
        <v/>
      </c>
      <c r="DE177" s="534"/>
      <c r="DF177" s="534"/>
      <c r="DG177" s="534"/>
    </row>
    <row r="178" spans="1:111" ht="15" hidden="1" x14ac:dyDescent="0.25">
      <c r="A178" s="549">
        <f>IFERROR(IF(INDEX('Weather Cases'!$E$10:$E$94,MATCH('Load Criteria'!X178,'Weather Cases'!$H$10:$H$94,0),1)=1,1,"-"),"-")</f>
        <v>1</v>
      </c>
      <c r="B178" s="555" t="s">
        <v>558</v>
      </c>
      <c r="C178" s="556" t="str">
        <f>IF('Weather Cases'!$E$41=0,"","SC")</f>
        <v>SC</v>
      </c>
      <c r="D178" s="555" t="s">
        <v>567</v>
      </c>
      <c r="E178" s="556" t="s">
        <v>22</v>
      </c>
      <c r="F178" s="556" t="s">
        <v>22</v>
      </c>
      <c r="G178" s="556" t="str">
        <f>IFERROR(IF(MID('Load Criteria'!X178,FIND("_",'Load Criteria'!X178,1)+1,1)=LEFT(Control!$D$23,1),"YES","-"),"-")</f>
        <v>YES</v>
      </c>
      <c r="H178" s="549" t="str">
        <f>IF(INDEX('Weather Cases'!$G$10:$G$94,MATCH('Load Criteria'!X178,'Weather Cases'!$H$10:$H$94,0),1)="H","YES","")</f>
        <v>YES</v>
      </c>
      <c r="I178" s="557" t="s">
        <v>320</v>
      </c>
      <c r="J178" s="550">
        <v>50</v>
      </c>
      <c r="K178" s="508" t="s">
        <v>571</v>
      </c>
      <c r="L178" s="508" t="s">
        <v>40</v>
      </c>
      <c r="M178" s="508">
        <v>1</v>
      </c>
      <c r="N178" s="508">
        <v>2</v>
      </c>
      <c r="O178" s="508"/>
      <c r="P178" s="395">
        <v>3</v>
      </c>
      <c r="Q178" s="395">
        <v>7</v>
      </c>
      <c r="R178" s="395">
        <v>8</v>
      </c>
      <c r="S178" s="395"/>
      <c r="T178" s="395"/>
      <c r="U178" s="255" t="s">
        <v>568</v>
      </c>
      <c r="V178" s="551" t="s">
        <v>300</v>
      </c>
      <c r="W178" s="542" t="str">
        <f t="shared" si="51"/>
        <v>TI0050_A8+TB12 NA+</v>
      </c>
      <c r="X178" s="552" t="str">
        <f>I178&amp;TEXT(J178,"0000")&amp;"_"&amp;LEFT(Control!$D$23,1)&amp;LEFT(Control!$D$22,LEN(Control!$D$22)-2)</f>
        <v>TI0050_A8</v>
      </c>
      <c r="Y178" s="552" t="s">
        <v>433</v>
      </c>
      <c r="Z178" s="552" t="str">
        <f>U178</f>
        <v>NA+</v>
      </c>
      <c r="AA178" s="552"/>
      <c r="AB178" s="552">
        <v>1</v>
      </c>
      <c r="AC178" s="552">
        <v>1</v>
      </c>
      <c r="AD178" s="552">
        <v>1</v>
      </c>
      <c r="AE178" s="552">
        <v>1</v>
      </c>
      <c r="AF178" s="552">
        <v>1</v>
      </c>
      <c r="AG178" s="542" t="s">
        <v>561</v>
      </c>
      <c r="AH178" s="552">
        <v>0</v>
      </c>
      <c r="AI178" s="552">
        <v>0</v>
      </c>
      <c r="AJ178" s="552">
        <v>1</v>
      </c>
      <c r="AK178" s="552">
        <v>1</v>
      </c>
      <c r="AL178" s="552">
        <v>1</v>
      </c>
      <c r="AM178" s="552">
        <v>0</v>
      </c>
      <c r="AN178" s="552">
        <v>0</v>
      </c>
      <c r="AO178" s="552">
        <v>1</v>
      </c>
      <c r="AP178" s="552">
        <v>1</v>
      </c>
      <c r="AQ178" s="552">
        <v>1</v>
      </c>
      <c r="AR178" s="552">
        <v>1</v>
      </c>
      <c r="AS178" s="552">
        <v>1</v>
      </c>
      <c r="AT178" s="552">
        <v>1</v>
      </c>
      <c r="AU178" s="552"/>
      <c r="AV178" s="553" t="str">
        <f>IF(H178="YES","'"&amp;INDEX('Structure Groups'!$C$12:$C$14,MATCH('Load Criteria'!$B$5,'Structure Groups'!$B$12:$B$14,0),1)&amp;"'","'All'")</f>
        <v>'GL Max 800m'</v>
      </c>
      <c r="AW178" s="552" t="s">
        <v>562</v>
      </c>
      <c r="AX178" s="552"/>
      <c r="AY178" s="552" t="str">
        <f t="shared" si="166"/>
        <v>Yes</v>
      </c>
      <c r="AZ178" s="389" t="str">
        <f t="shared" ref="AZ178:AZ184" si="172">$M178&amp;":1:"&amp;IF($L178="A","Ahead","Back")</f>
        <v>1:1:Back</v>
      </c>
      <c r="BA178" s="554" t="s">
        <v>572</v>
      </c>
      <c r="BB178" s="391">
        <v>40</v>
      </c>
      <c r="BC178" s="579" t="str">
        <f>$M178+10&amp;":1:"&amp;"Ahead"</f>
        <v>11:1:Ahead</v>
      </c>
      <c r="BD178" s="554" t="s">
        <v>572</v>
      </c>
      <c r="BE178" s="580">
        <f>IF($L178="A",40,70)</f>
        <v>70</v>
      </c>
      <c r="BF178" s="389" t="str">
        <f t="shared" ref="BF178:BF184" si="173">$M178&amp;":1:"&amp;IF($L178="A","Back","Ahead")</f>
        <v>1:1:Ahead</v>
      </c>
      <c r="BG178" s="554" t="str">
        <f t="shared" ref="BG178:BG184" si="174">IF(BF178="","","% Wire Ice")</f>
        <v>% Wire Ice</v>
      </c>
      <c r="BH178" s="391">
        <v>70</v>
      </c>
      <c r="BI178" s="389" t="str">
        <f t="shared" ref="BI178:BI184" si="175">$N178&amp;":1:"&amp;IF($L178="A","Ahead","Back")</f>
        <v>2:1:Back</v>
      </c>
      <c r="BJ178" s="554" t="s">
        <v>572</v>
      </c>
      <c r="BK178" s="391">
        <v>40</v>
      </c>
      <c r="BL178" s="579" t="str">
        <f>$N178+10&amp;":1:"&amp;"Ahead"</f>
        <v>12:1:Ahead</v>
      </c>
      <c r="BM178" s="554" t="s">
        <v>572</v>
      </c>
      <c r="BN178" s="580">
        <f>IF($L178="A",40,70)</f>
        <v>70</v>
      </c>
      <c r="BO178" s="389" t="str">
        <f t="shared" ref="BO178:BO184" si="176">$N178&amp;":1:"&amp;IF($L178="A","Back","Ahead")</f>
        <v>2:1:Ahead</v>
      </c>
      <c r="BP178" s="554" t="str">
        <f t="shared" ref="BP178:BP184" si="177">IF(BO178="","","% Wire Ice")</f>
        <v>% Wire Ice</v>
      </c>
      <c r="BQ178" s="391">
        <v>70</v>
      </c>
      <c r="BR178" s="389" t="str">
        <f t="shared" ref="BR178:BR184" si="178">IF($O178="","",$O178&amp;":1:"&amp;IF($L178="A","Ahead","Back"))</f>
        <v/>
      </c>
      <c r="BS178" s="554" t="str">
        <f t="shared" ref="BS178:BS184" si="179">IF($O178="","","% Wire Ice")</f>
        <v/>
      </c>
      <c r="BT178" s="391" t="str">
        <f t="shared" ref="BT178:BT184" si="180">IF($O178="","",40)</f>
        <v/>
      </c>
      <c r="BU178" s="389" t="str">
        <f t="shared" ref="BU178:BU180" si="181">IF($O178="","",$O178+10&amp;":1:"&amp;IF($L178="A","Ahead","Back"))</f>
        <v/>
      </c>
      <c r="BV178" s="554" t="str">
        <f t="shared" ref="BV178:BV184" si="182">IF($O178="","","% Wire Ice")</f>
        <v/>
      </c>
      <c r="BW178" s="391" t="str">
        <f t="shared" ref="BW178:BW180" si="183">IF($O178="","",40)</f>
        <v/>
      </c>
      <c r="BX178" s="389" t="str">
        <f t="shared" ref="BX178:BX184" si="184">IF($O178="","",$O178&amp;":1:"&amp;IF($L178="A","Back","Ahead"))</f>
        <v/>
      </c>
      <c r="BY178" s="554" t="str">
        <f t="shared" ref="BY178:BY184" si="185">IF($O178="","","% Wire Ice")</f>
        <v/>
      </c>
      <c r="BZ178" s="391" t="str">
        <f t="shared" ref="BZ178:BZ184" si="186">IF($O178="","",70)</f>
        <v/>
      </c>
      <c r="CA178" s="389" t="str">
        <f t="shared" ref="CA178:CA184" si="187">IF($P178="","",$P178&amp;":1:Back+Ahead")</f>
        <v>3:1:Back+Ahead</v>
      </c>
      <c r="CB178" s="554" t="str">
        <f t="shared" ref="CB178:CB184" si="188">IF($P178="","","% Wire Ice")</f>
        <v>% Wire Ice</v>
      </c>
      <c r="CC178" s="391">
        <f t="shared" ref="CC178:CC184" si="189">IF($P178="","",70)</f>
        <v>70</v>
      </c>
      <c r="CD178" s="389" t="str">
        <f t="shared" ref="CD178:CD184" si="190">IF($P178="","",$P178+10&amp;":1:Ahead")</f>
        <v>13:1:Ahead</v>
      </c>
      <c r="CE178" s="554" t="str">
        <f t="shared" ref="CE178:CE184" si="191">IF($P178="","","% Wire Ice")</f>
        <v>% Wire Ice</v>
      </c>
      <c r="CF178" s="391">
        <f t="shared" ref="CF178:CF184" si="192">IF($P178="","",70)</f>
        <v>70</v>
      </c>
      <c r="CG178" s="389" t="str">
        <f t="shared" ref="CG178:CG184" si="193">IF($Q178="","",$Q178&amp;":1:Back+Ahead")</f>
        <v>7:1:Back+Ahead</v>
      </c>
      <c r="CH178" s="554" t="str">
        <f t="shared" ref="CH178:CH184" si="194">IF($Q178="","","% Wire Ice")</f>
        <v>% Wire Ice</v>
      </c>
      <c r="CI178" s="391">
        <f t="shared" ref="CI178:CI184" si="195">IF($Q178="","",70)</f>
        <v>70</v>
      </c>
      <c r="CJ178" s="389" t="str">
        <f t="shared" ref="CJ178:CJ184" si="196">IF($Q178="","",$Q178+10&amp;":1:Ahead")</f>
        <v>17:1:Ahead</v>
      </c>
      <c r="CK178" s="554" t="str">
        <f t="shared" ref="CK178:CK184" si="197">IF($Q178="","","% Wire Ice")</f>
        <v>% Wire Ice</v>
      </c>
      <c r="CL178" s="391">
        <f t="shared" ref="CL178:CL184" si="198">IF($Q178="","",70)</f>
        <v>70</v>
      </c>
      <c r="CM178" s="389" t="str">
        <f t="shared" ref="CM178:CM184" si="199">IF($R178="","",$R178&amp;":1:Back+Ahead")</f>
        <v>8:1:Back+Ahead</v>
      </c>
      <c r="CN178" s="554" t="str">
        <f t="shared" ref="CN178:CN184" si="200">IF($R178="","","% Wire Ice")</f>
        <v>% Wire Ice</v>
      </c>
      <c r="CO178" s="391">
        <f t="shared" ref="CO178:CO184" si="201">IF($R178="","",70)</f>
        <v>70</v>
      </c>
      <c r="CP178" s="554" t="str">
        <f t="shared" ref="CP178:CP184" si="202">IF($R178="","",$R178+10&amp;":1:Ahead")</f>
        <v>18:1:Ahead</v>
      </c>
      <c r="CQ178" s="554" t="str">
        <f t="shared" ref="CQ178:CQ184" si="203">IF($R178="","","% Wire Ice")</f>
        <v>% Wire Ice</v>
      </c>
      <c r="CR178" s="554">
        <f t="shared" ref="CR178:CR184" si="204">IF($R178="","",70)</f>
        <v>70</v>
      </c>
      <c r="CS178" s="554" t="str">
        <f t="shared" ref="CS178:CS184" si="205">IF($S178="","",$S178&amp;":1:Back+Ahead")</f>
        <v/>
      </c>
      <c r="CT178" s="554" t="str">
        <f t="shared" ref="CT178:CT184" si="206">IF($S178="","","% Wire Ice")</f>
        <v/>
      </c>
      <c r="CU178" s="554" t="str">
        <f t="shared" ref="CU178:CU184" si="207">IF($S178="","",70)</f>
        <v/>
      </c>
      <c r="CV178" s="554" t="str">
        <f t="shared" ref="CV178:CV184" si="208">IF($S178="","",$S178+10&amp;":1:Ahead")</f>
        <v/>
      </c>
      <c r="CW178" s="554" t="str">
        <f t="shared" ref="CW178:CW184" si="209">IF($S178="","","% Wire Ice")</f>
        <v/>
      </c>
      <c r="CX178" s="554" t="str">
        <f t="shared" ref="CX178:CX184" si="210">IF($S178="","",70)</f>
        <v/>
      </c>
      <c r="CY178" s="554" t="str">
        <f t="shared" ref="CY178:CY184" si="211">IF($T178="","",$T178&amp;":1:Back+Ahead")</f>
        <v/>
      </c>
      <c r="CZ178" s="554" t="str">
        <f t="shared" ref="CZ178:CZ184" si="212">IF($T178="","","% Wire Ice")</f>
        <v/>
      </c>
      <c r="DA178" s="554" t="str">
        <f t="shared" ref="DA178:DA184" si="213">IF($T178="","",70)</f>
        <v/>
      </c>
      <c r="DB178" s="554" t="str">
        <f t="shared" ref="DB178:DB184" si="214">IF($T178="","",$T178+10&amp;":1:Ahead")</f>
        <v/>
      </c>
      <c r="DC178" s="554" t="str">
        <f t="shared" ref="DC178:DC184" si="215">IF($T178="","","% Wire Ice")</f>
        <v/>
      </c>
      <c r="DD178" s="554" t="str">
        <f t="shared" ref="DD178:DD184" si="216">IF($T178="","",70)</f>
        <v/>
      </c>
      <c r="DE178" s="534"/>
      <c r="DF178" s="534"/>
      <c r="DG178" s="534"/>
    </row>
    <row r="179" spans="1:111" ht="15" hidden="1" x14ac:dyDescent="0.25">
      <c r="A179" s="549">
        <f>IFERROR(IF(INDEX('Weather Cases'!$E$10:$E$94,MATCH('Load Criteria'!X179,'Weather Cases'!$H$10:$H$94,0),1)=1,1,"-"),"-")</f>
        <v>1</v>
      </c>
      <c r="B179" s="555" t="s">
        <v>558</v>
      </c>
      <c r="C179" s="556" t="str">
        <f>IF('Weather Cases'!$E$41=0,"","SC")</f>
        <v>SC</v>
      </c>
      <c r="D179" s="555" t="s">
        <v>567</v>
      </c>
      <c r="E179" s="556" t="s">
        <v>22</v>
      </c>
      <c r="F179" s="556" t="s">
        <v>22</v>
      </c>
      <c r="G179" s="556" t="str">
        <f>IFERROR(IF(MID('Load Criteria'!X179,FIND("_",'Load Criteria'!X179,1)+1,1)=LEFT(Control!$D$23,1),"YES","-"),"-")</f>
        <v>YES</v>
      </c>
      <c r="H179" s="549" t="str">
        <f>IF(INDEX('Weather Cases'!$G$10:$G$94,MATCH('Load Criteria'!X179,'Weather Cases'!$H$10:$H$94,0),1)="H","YES","")</f>
        <v>YES</v>
      </c>
      <c r="I179" s="557" t="s">
        <v>320</v>
      </c>
      <c r="J179" s="550">
        <v>50</v>
      </c>
      <c r="K179" s="508" t="s">
        <v>571</v>
      </c>
      <c r="L179" s="508" t="s">
        <v>24</v>
      </c>
      <c r="M179" s="508">
        <v>2</v>
      </c>
      <c r="N179" s="508">
        <v>3</v>
      </c>
      <c r="O179" s="508"/>
      <c r="P179" s="395">
        <v>1</v>
      </c>
      <c r="Q179" s="395">
        <v>7</v>
      </c>
      <c r="R179" s="395">
        <v>8</v>
      </c>
      <c r="S179" s="395"/>
      <c r="T179" s="395"/>
      <c r="U179" s="255" t="s">
        <v>568</v>
      </c>
      <c r="V179" s="551" t="s">
        <v>300</v>
      </c>
      <c r="W179" s="542" t="str">
        <f t="shared" si="51"/>
        <v>TI0050_A8+TA23 NA+</v>
      </c>
      <c r="X179" s="552" t="str">
        <f>I179&amp;TEXT(J179,"0000")&amp;"_"&amp;LEFT(Control!$D$23,1)&amp;LEFT(Control!$D$22,LEN(Control!$D$22)-2)</f>
        <v>TI0050_A8</v>
      </c>
      <c r="Y179" s="552" t="s">
        <v>433</v>
      </c>
      <c r="Z179" s="552" t="str">
        <f t="shared" ref="Z179:Z184" si="217">U179</f>
        <v>NA+</v>
      </c>
      <c r="AA179" s="552"/>
      <c r="AB179" s="552">
        <v>1</v>
      </c>
      <c r="AC179" s="552">
        <v>1</v>
      </c>
      <c r="AD179" s="552">
        <v>1</v>
      </c>
      <c r="AE179" s="552">
        <v>1</v>
      </c>
      <c r="AF179" s="552">
        <v>1</v>
      </c>
      <c r="AG179" s="542" t="s">
        <v>561</v>
      </c>
      <c r="AH179" s="552">
        <v>0</v>
      </c>
      <c r="AI179" s="552">
        <v>0</v>
      </c>
      <c r="AJ179" s="552">
        <v>1</v>
      </c>
      <c r="AK179" s="552">
        <v>1</v>
      </c>
      <c r="AL179" s="552">
        <v>1</v>
      </c>
      <c r="AM179" s="552">
        <v>0</v>
      </c>
      <c r="AN179" s="552">
        <v>0</v>
      </c>
      <c r="AO179" s="552">
        <v>1</v>
      </c>
      <c r="AP179" s="552">
        <v>1</v>
      </c>
      <c r="AQ179" s="552">
        <v>1</v>
      </c>
      <c r="AR179" s="552">
        <v>1</v>
      </c>
      <c r="AS179" s="552">
        <v>1</v>
      </c>
      <c r="AT179" s="552">
        <v>1</v>
      </c>
      <c r="AU179" s="552"/>
      <c r="AV179" s="553" t="str">
        <f>IF(H179="YES","'"&amp;INDEX('Structure Groups'!$C$12:$C$14,MATCH('Load Criteria'!$B$5,'Structure Groups'!$B$12:$B$14,0),1)&amp;"'","'All'")</f>
        <v>'GL Max 800m'</v>
      </c>
      <c r="AW179" s="552" t="s">
        <v>562</v>
      </c>
      <c r="AX179" s="552"/>
      <c r="AY179" s="552" t="str">
        <f t="shared" si="166"/>
        <v>Yes</v>
      </c>
      <c r="AZ179" s="389" t="str">
        <f t="shared" si="172"/>
        <v>2:1:Ahead</v>
      </c>
      <c r="BA179" s="554" t="s">
        <v>572</v>
      </c>
      <c r="BB179" s="391">
        <v>40</v>
      </c>
      <c r="BC179" s="579" t="str">
        <f t="shared" ref="BC179:BC180" si="218">$M179+10&amp;":1:"&amp;"Ahead"</f>
        <v>12:1:Ahead</v>
      </c>
      <c r="BD179" s="554" t="s">
        <v>572</v>
      </c>
      <c r="BE179" s="580">
        <f t="shared" ref="BE179:BE184" si="219">IF($L179="A",40,70)</f>
        <v>40</v>
      </c>
      <c r="BF179" s="389" t="str">
        <f t="shared" si="173"/>
        <v>2:1:Back</v>
      </c>
      <c r="BG179" s="554" t="str">
        <f t="shared" si="174"/>
        <v>% Wire Ice</v>
      </c>
      <c r="BH179" s="391">
        <v>70</v>
      </c>
      <c r="BI179" s="389" t="str">
        <f t="shared" si="175"/>
        <v>3:1:Ahead</v>
      </c>
      <c r="BJ179" s="554" t="s">
        <v>572</v>
      </c>
      <c r="BK179" s="391">
        <v>40</v>
      </c>
      <c r="BL179" s="579" t="str">
        <f t="shared" ref="BL179:BL180" si="220">$N179+10&amp;":1:"&amp;"Ahead"</f>
        <v>13:1:Ahead</v>
      </c>
      <c r="BM179" s="554" t="s">
        <v>572</v>
      </c>
      <c r="BN179" s="580">
        <f t="shared" ref="BN179:BN184" si="221">IF($L179="A",40,70)</f>
        <v>40</v>
      </c>
      <c r="BO179" s="389" t="str">
        <f t="shared" si="176"/>
        <v>3:1:Back</v>
      </c>
      <c r="BP179" s="554" t="str">
        <f t="shared" si="177"/>
        <v>% Wire Ice</v>
      </c>
      <c r="BQ179" s="391">
        <v>70</v>
      </c>
      <c r="BR179" s="389" t="str">
        <f t="shared" si="178"/>
        <v/>
      </c>
      <c r="BS179" s="554" t="str">
        <f t="shared" si="179"/>
        <v/>
      </c>
      <c r="BT179" s="391" t="str">
        <f t="shared" si="180"/>
        <v/>
      </c>
      <c r="BU179" s="389" t="str">
        <f t="shared" si="181"/>
        <v/>
      </c>
      <c r="BV179" s="554" t="str">
        <f t="shared" si="182"/>
        <v/>
      </c>
      <c r="BW179" s="391" t="str">
        <f t="shared" si="183"/>
        <v/>
      </c>
      <c r="BX179" s="389" t="str">
        <f t="shared" si="184"/>
        <v/>
      </c>
      <c r="BY179" s="554" t="str">
        <f t="shared" si="185"/>
        <v/>
      </c>
      <c r="BZ179" s="391" t="str">
        <f t="shared" si="186"/>
        <v/>
      </c>
      <c r="CA179" s="389" t="str">
        <f t="shared" si="187"/>
        <v>1:1:Back+Ahead</v>
      </c>
      <c r="CB179" s="554" t="str">
        <f t="shared" si="188"/>
        <v>% Wire Ice</v>
      </c>
      <c r="CC179" s="391">
        <f t="shared" si="189"/>
        <v>70</v>
      </c>
      <c r="CD179" s="389" t="str">
        <f t="shared" si="190"/>
        <v>11:1:Ahead</v>
      </c>
      <c r="CE179" s="554" t="str">
        <f t="shared" si="191"/>
        <v>% Wire Ice</v>
      </c>
      <c r="CF179" s="391">
        <f t="shared" si="192"/>
        <v>70</v>
      </c>
      <c r="CG179" s="389" t="str">
        <f t="shared" si="193"/>
        <v>7:1:Back+Ahead</v>
      </c>
      <c r="CH179" s="554" t="str">
        <f t="shared" si="194"/>
        <v>% Wire Ice</v>
      </c>
      <c r="CI179" s="391">
        <f t="shared" si="195"/>
        <v>70</v>
      </c>
      <c r="CJ179" s="389" t="str">
        <f t="shared" si="196"/>
        <v>17:1:Ahead</v>
      </c>
      <c r="CK179" s="554" t="str">
        <f t="shared" si="197"/>
        <v>% Wire Ice</v>
      </c>
      <c r="CL179" s="391">
        <f t="shared" si="198"/>
        <v>70</v>
      </c>
      <c r="CM179" s="389" t="str">
        <f t="shared" si="199"/>
        <v>8:1:Back+Ahead</v>
      </c>
      <c r="CN179" s="554" t="str">
        <f t="shared" si="200"/>
        <v>% Wire Ice</v>
      </c>
      <c r="CO179" s="391">
        <f t="shared" si="201"/>
        <v>70</v>
      </c>
      <c r="CP179" s="554" t="str">
        <f t="shared" si="202"/>
        <v>18:1:Ahead</v>
      </c>
      <c r="CQ179" s="554" t="str">
        <f t="shared" si="203"/>
        <v>% Wire Ice</v>
      </c>
      <c r="CR179" s="554">
        <f t="shared" si="204"/>
        <v>70</v>
      </c>
      <c r="CS179" s="554" t="str">
        <f t="shared" si="205"/>
        <v/>
      </c>
      <c r="CT179" s="554" t="str">
        <f t="shared" si="206"/>
        <v/>
      </c>
      <c r="CU179" s="554" t="str">
        <f t="shared" si="207"/>
        <v/>
      </c>
      <c r="CV179" s="554" t="str">
        <f t="shared" si="208"/>
        <v/>
      </c>
      <c r="CW179" s="554" t="str">
        <f t="shared" si="209"/>
        <v/>
      </c>
      <c r="CX179" s="554" t="str">
        <f t="shared" si="210"/>
        <v/>
      </c>
      <c r="CY179" s="554" t="str">
        <f t="shared" si="211"/>
        <v/>
      </c>
      <c r="CZ179" s="554" t="str">
        <f t="shared" si="212"/>
        <v/>
      </c>
      <c r="DA179" s="554" t="str">
        <f t="shared" si="213"/>
        <v/>
      </c>
      <c r="DB179" s="554" t="str">
        <f t="shared" si="214"/>
        <v/>
      </c>
      <c r="DC179" s="554" t="str">
        <f t="shared" si="215"/>
        <v/>
      </c>
      <c r="DD179" s="554" t="str">
        <f t="shared" si="216"/>
        <v/>
      </c>
      <c r="DE179" s="534"/>
      <c r="DF179" s="534"/>
      <c r="DG179" s="534"/>
    </row>
    <row r="180" spans="1:111" ht="15" hidden="1" x14ac:dyDescent="0.25">
      <c r="A180" s="549">
        <f>IFERROR(IF(INDEX('Weather Cases'!$E$10:$E$94,MATCH('Load Criteria'!X180,'Weather Cases'!$H$10:$H$94,0),1)=1,1,"-"),"-")</f>
        <v>1</v>
      </c>
      <c r="B180" s="555" t="s">
        <v>558</v>
      </c>
      <c r="C180" s="556" t="str">
        <f>IF('Weather Cases'!$E$41=0,"","SC")</f>
        <v>SC</v>
      </c>
      <c r="D180" s="555" t="s">
        <v>567</v>
      </c>
      <c r="E180" s="556" t="s">
        <v>22</v>
      </c>
      <c r="F180" s="556" t="s">
        <v>22</v>
      </c>
      <c r="G180" s="556" t="str">
        <f>IFERROR(IF(MID('Load Criteria'!X180,FIND("_",'Load Criteria'!X180,1)+1,1)=LEFT(Control!$D$23,1),"YES","-"),"-")</f>
        <v>YES</v>
      </c>
      <c r="H180" s="549" t="str">
        <f>IF(INDEX('Weather Cases'!$G$10:$G$94,MATCH('Load Criteria'!X180,'Weather Cases'!$H$10:$H$94,0),1)="H","YES","")</f>
        <v>YES</v>
      </c>
      <c r="I180" s="557" t="s">
        <v>320</v>
      </c>
      <c r="J180" s="550">
        <v>50</v>
      </c>
      <c r="K180" s="508" t="s">
        <v>571</v>
      </c>
      <c r="L180" s="508" t="s">
        <v>40</v>
      </c>
      <c r="M180" s="508">
        <v>2</v>
      </c>
      <c r="N180" s="508">
        <v>3</v>
      </c>
      <c r="O180" s="508"/>
      <c r="P180" s="395">
        <v>1</v>
      </c>
      <c r="Q180" s="395">
        <v>7</v>
      </c>
      <c r="R180" s="395">
        <v>8</v>
      </c>
      <c r="S180" s="395"/>
      <c r="T180" s="395"/>
      <c r="U180" s="255" t="s">
        <v>568</v>
      </c>
      <c r="V180" s="551" t="s">
        <v>300</v>
      </c>
      <c r="W180" s="542" t="str">
        <f t="shared" si="51"/>
        <v>TI0050_A8+TB23 NA+</v>
      </c>
      <c r="X180" s="552" t="str">
        <f>I180&amp;TEXT(J180,"0000")&amp;"_"&amp;LEFT(Control!$D$23,1)&amp;LEFT(Control!$D$22,LEN(Control!$D$22)-2)</f>
        <v>TI0050_A8</v>
      </c>
      <c r="Y180" s="552" t="s">
        <v>433</v>
      </c>
      <c r="Z180" s="552" t="str">
        <f t="shared" si="217"/>
        <v>NA+</v>
      </c>
      <c r="AA180" s="552"/>
      <c r="AB180" s="552">
        <v>1</v>
      </c>
      <c r="AC180" s="552">
        <v>1</v>
      </c>
      <c r="AD180" s="552">
        <v>1</v>
      </c>
      <c r="AE180" s="552">
        <v>1</v>
      </c>
      <c r="AF180" s="552">
        <v>1</v>
      </c>
      <c r="AG180" s="542" t="s">
        <v>561</v>
      </c>
      <c r="AH180" s="552">
        <v>0</v>
      </c>
      <c r="AI180" s="552">
        <v>0</v>
      </c>
      <c r="AJ180" s="552">
        <v>1</v>
      </c>
      <c r="AK180" s="552">
        <v>1</v>
      </c>
      <c r="AL180" s="552">
        <v>1</v>
      </c>
      <c r="AM180" s="552">
        <v>0</v>
      </c>
      <c r="AN180" s="552">
        <v>0</v>
      </c>
      <c r="AO180" s="552">
        <v>1</v>
      </c>
      <c r="AP180" s="552">
        <v>1</v>
      </c>
      <c r="AQ180" s="552">
        <v>1</v>
      </c>
      <c r="AR180" s="552">
        <v>1</v>
      </c>
      <c r="AS180" s="552">
        <v>1</v>
      </c>
      <c r="AT180" s="552">
        <v>1</v>
      </c>
      <c r="AU180" s="552"/>
      <c r="AV180" s="553" t="str">
        <f>IF(H180="YES","'"&amp;INDEX('Structure Groups'!$C$12:$C$14,MATCH('Load Criteria'!$B$5,'Structure Groups'!$B$12:$B$14,0),1)&amp;"'","'All'")</f>
        <v>'GL Max 800m'</v>
      </c>
      <c r="AW180" s="552" t="s">
        <v>562</v>
      </c>
      <c r="AX180" s="552"/>
      <c r="AY180" s="552" t="str">
        <f t="shared" si="166"/>
        <v>Yes</v>
      </c>
      <c r="AZ180" s="389" t="str">
        <f t="shared" si="172"/>
        <v>2:1:Back</v>
      </c>
      <c r="BA180" s="554" t="s">
        <v>572</v>
      </c>
      <c r="BB180" s="391">
        <v>40</v>
      </c>
      <c r="BC180" s="579" t="str">
        <f t="shared" si="218"/>
        <v>12:1:Ahead</v>
      </c>
      <c r="BD180" s="554" t="s">
        <v>572</v>
      </c>
      <c r="BE180" s="580">
        <f t="shared" si="219"/>
        <v>70</v>
      </c>
      <c r="BF180" s="389" t="str">
        <f t="shared" si="173"/>
        <v>2:1:Ahead</v>
      </c>
      <c r="BG180" s="554" t="str">
        <f t="shared" si="174"/>
        <v>% Wire Ice</v>
      </c>
      <c r="BH180" s="391">
        <v>70</v>
      </c>
      <c r="BI180" s="389" t="str">
        <f t="shared" si="175"/>
        <v>3:1:Back</v>
      </c>
      <c r="BJ180" s="554" t="s">
        <v>572</v>
      </c>
      <c r="BK180" s="391">
        <v>40</v>
      </c>
      <c r="BL180" s="579" t="str">
        <f t="shared" si="220"/>
        <v>13:1:Ahead</v>
      </c>
      <c r="BM180" s="554" t="s">
        <v>572</v>
      </c>
      <c r="BN180" s="580">
        <f t="shared" si="221"/>
        <v>70</v>
      </c>
      <c r="BO180" s="389" t="str">
        <f t="shared" si="176"/>
        <v>3:1:Ahead</v>
      </c>
      <c r="BP180" s="554" t="str">
        <f t="shared" si="177"/>
        <v>% Wire Ice</v>
      </c>
      <c r="BQ180" s="391">
        <v>70</v>
      </c>
      <c r="BR180" s="389" t="str">
        <f t="shared" si="178"/>
        <v/>
      </c>
      <c r="BS180" s="554" t="str">
        <f t="shared" si="179"/>
        <v/>
      </c>
      <c r="BT180" s="391" t="str">
        <f t="shared" si="180"/>
        <v/>
      </c>
      <c r="BU180" s="389" t="str">
        <f t="shared" si="181"/>
        <v/>
      </c>
      <c r="BV180" s="554" t="str">
        <f t="shared" si="182"/>
        <v/>
      </c>
      <c r="BW180" s="391" t="str">
        <f t="shared" si="183"/>
        <v/>
      </c>
      <c r="BX180" s="389" t="str">
        <f t="shared" si="184"/>
        <v/>
      </c>
      <c r="BY180" s="554" t="str">
        <f t="shared" si="185"/>
        <v/>
      </c>
      <c r="BZ180" s="391" t="str">
        <f t="shared" si="186"/>
        <v/>
      </c>
      <c r="CA180" s="389" t="str">
        <f t="shared" si="187"/>
        <v>1:1:Back+Ahead</v>
      </c>
      <c r="CB180" s="554" t="str">
        <f t="shared" si="188"/>
        <v>% Wire Ice</v>
      </c>
      <c r="CC180" s="391">
        <f t="shared" si="189"/>
        <v>70</v>
      </c>
      <c r="CD180" s="389" t="str">
        <f t="shared" si="190"/>
        <v>11:1:Ahead</v>
      </c>
      <c r="CE180" s="554" t="str">
        <f t="shared" si="191"/>
        <v>% Wire Ice</v>
      </c>
      <c r="CF180" s="391">
        <f t="shared" si="192"/>
        <v>70</v>
      </c>
      <c r="CG180" s="389" t="str">
        <f t="shared" si="193"/>
        <v>7:1:Back+Ahead</v>
      </c>
      <c r="CH180" s="554" t="str">
        <f t="shared" si="194"/>
        <v>% Wire Ice</v>
      </c>
      <c r="CI180" s="391">
        <f t="shared" si="195"/>
        <v>70</v>
      </c>
      <c r="CJ180" s="389" t="str">
        <f t="shared" si="196"/>
        <v>17:1:Ahead</v>
      </c>
      <c r="CK180" s="554" t="str">
        <f t="shared" si="197"/>
        <v>% Wire Ice</v>
      </c>
      <c r="CL180" s="391">
        <f t="shared" si="198"/>
        <v>70</v>
      </c>
      <c r="CM180" s="389" t="str">
        <f t="shared" si="199"/>
        <v>8:1:Back+Ahead</v>
      </c>
      <c r="CN180" s="554" t="str">
        <f t="shared" si="200"/>
        <v>% Wire Ice</v>
      </c>
      <c r="CO180" s="391">
        <f t="shared" si="201"/>
        <v>70</v>
      </c>
      <c r="CP180" s="554" t="str">
        <f t="shared" si="202"/>
        <v>18:1:Ahead</v>
      </c>
      <c r="CQ180" s="554" t="str">
        <f t="shared" si="203"/>
        <v>% Wire Ice</v>
      </c>
      <c r="CR180" s="554">
        <f t="shared" si="204"/>
        <v>70</v>
      </c>
      <c r="CS180" s="554" t="str">
        <f t="shared" si="205"/>
        <v/>
      </c>
      <c r="CT180" s="554" t="str">
        <f t="shared" si="206"/>
        <v/>
      </c>
      <c r="CU180" s="554" t="str">
        <f t="shared" si="207"/>
        <v/>
      </c>
      <c r="CV180" s="554" t="str">
        <f t="shared" si="208"/>
        <v/>
      </c>
      <c r="CW180" s="554" t="str">
        <f t="shared" si="209"/>
        <v/>
      </c>
      <c r="CX180" s="554" t="str">
        <f t="shared" si="210"/>
        <v/>
      </c>
      <c r="CY180" s="554" t="str">
        <f t="shared" si="211"/>
        <v/>
      </c>
      <c r="CZ180" s="554" t="str">
        <f t="shared" si="212"/>
        <v/>
      </c>
      <c r="DA180" s="554" t="str">
        <f t="shared" si="213"/>
        <v/>
      </c>
      <c r="DB180" s="554" t="str">
        <f t="shared" si="214"/>
        <v/>
      </c>
      <c r="DC180" s="554" t="str">
        <f t="shared" si="215"/>
        <v/>
      </c>
      <c r="DD180" s="554" t="str">
        <f t="shared" si="216"/>
        <v/>
      </c>
      <c r="DE180" s="534"/>
      <c r="DF180" s="534"/>
      <c r="DG180" s="534"/>
    </row>
    <row r="181" spans="1:111" ht="15" x14ac:dyDescent="0.25">
      <c r="A181" s="549">
        <f>IFERROR(IF(INDEX('Weather Cases'!$E$10:$E$94,MATCH('Load Criteria'!X181,'Weather Cases'!$H$10:$H$94,0),1)=1,1,"-"),"-")</f>
        <v>1</v>
      </c>
      <c r="B181" s="555" t="s">
        <v>558</v>
      </c>
      <c r="C181" s="556" t="str">
        <f>IF('Weather Cases'!$E$41=0,"","DC")</f>
        <v>DC</v>
      </c>
      <c r="D181" s="555" t="s">
        <v>567</v>
      </c>
      <c r="E181" s="556" t="s">
        <v>22</v>
      </c>
      <c r="F181" s="556" t="s">
        <v>22</v>
      </c>
      <c r="G181" s="556" t="str">
        <f>IFERROR(IF(MID('Load Criteria'!X181,FIND("_",'Load Criteria'!X181,1)+1,1)=LEFT(Control!$D$23,1),"YES","-"),"-")</f>
        <v>YES</v>
      </c>
      <c r="H181" s="549" t="str">
        <f>IF(INDEX('Weather Cases'!$G$10:$G$94,MATCH('Load Criteria'!X181,'Weather Cases'!$H$10:$H$94,0),1)="H","YES","")</f>
        <v>YES</v>
      </c>
      <c r="I181" s="557" t="s">
        <v>320</v>
      </c>
      <c r="J181" s="550">
        <v>50</v>
      </c>
      <c r="K181" s="508" t="s">
        <v>571</v>
      </c>
      <c r="L181" s="508" t="s">
        <v>24</v>
      </c>
      <c r="M181" s="508">
        <v>1</v>
      </c>
      <c r="N181" s="508">
        <v>2</v>
      </c>
      <c r="O181" s="508">
        <v>3</v>
      </c>
      <c r="P181" s="395">
        <v>4</v>
      </c>
      <c r="Q181" s="395">
        <v>5</v>
      </c>
      <c r="R181" s="395">
        <v>6</v>
      </c>
      <c r="S181" s="395">
        <v>7</v>
      </c>
      <c r="T181" s="395">
        <v>8</v>
      </c>
      <c r="U181" s="255" t="s">
        <v>568</v>
      </c>
      <c r="V181" s="551" t="s">
        <v>300</v>
      </c>
      <c r="W181" s="542" t="str">
        <f t="shared" si="51"/>
        <v>TI0050_A8+TA123 NA+</v>
      </c>
      <c r="X181" s="552" t="str">
        <f>I181&amp;TEXT(J181,"0000")&amp;"_"&amp;LEFT(Control!$D$23,1)&amp;LEFT(Control!$D$22,LEN(Control!$D$22)-2)</f>
        <v>TI0050_A8</v>
      </c>
      <c r="Y181" s="552" t="s">
        <v>433</v>
      </c>
      <c r="Z181" s="552" t="str">
        <f t="shared" si="217"/>
        <v>NA+</v>
      </c>
      <c r="AA181" s="552"/>
      <c r="AB181" s="552">
        <v>1</v>
      </c>
      <c r="AC181" s="552">
        <v>1</v>
      </c>
      <c r="AD181" s="552">
        <v>1</v>
      </c>
      <c r="AE181" s="552">
        <v>1</v>
      </c>
      <c r="AF181" s="552">
        <v>1</v>
      </c>
      <c r="AG181" s="542" t="s">
        <v>561</v>
      </c>
      <c r="AH181" s="552">
        <v>0</v>
      </c>
      <c r="AI181" s="552">
        <v>0</v>
      </c>
      <c r="AJ181" s="552">
        <v>1</v>
      </c>
      <c r="AK181" s="552">
        <v>1</v>
      </c>
      <c r="AL181" s="552">
        <v>1</v>
      </c>
      <c r="AM181" s="552">
        <v>0</v>
      </c>
      <c r="AN181" s="552">
        <v>0</v>
      </c>
      <c r="AO181" s="552">
        <v>1</v>
      </c>
      <c r="AP181" s="552">
        <v>1</v>
      </c>
      <c r="AQ181" s="552">
        <v>1</v>
      </c>
      <c r="AR181" s="552">
        <v>1</v>
      </c>
      <c r="AS181" s="552">
        <v>1</v>
      </c>
      <c r="AT181" s="552">
        <v>1</v>
      </c>
      <c r="AU181" s="552">
        <v>1</v>
      </c>
      <c r="AV181" s="553" t="str">
        <f>IF(H181="YES","'"&amp;INDEX('Structure Groups'!$C$12:$C$14,MATCH('Load Criteria'!$B$5,'Structure Groups'!$B$12:$B$14,0),1)&amp;"'","'All'")</f>
        <v>'GL Max 800m'</v>
      </c>
      <c r="AW181" s="552" t="s">
        <v>562</v>
      </c>
      <c r="AX181" s="552"/>
      <c r="AY181" s="552" t="str">
        <f t="shared" si="166"/>
        <v>Yes</v>
      </c>
      <c r="AZ181" s="389" t="str">
        <f t="shared" si="172"/>
        <v>1:1:Ahead</v>
      </c>
      <c r="BA181" s="554" t="s">
        <v>572</v>
      </c>
      <c r="BB181" s="391">
        <v>40</v>
      </c>
      <c r="BC181" s="579" t="str">
        <f t="shared" si="168"/>
        <v>11:1:Ahead</v>
      </c>
      <c r="BD181" s="554" t="s">
        <v>572</v>
      </c>
      <c r="BE181" s="580">
        <f t="shared" si="219"/>
        <v>40</v>
      </c>
      <c r="BF181" s="389" t="str">
        <f t="shared" si="173"/>
        <v>1:1:Back</v>
      </c>
      <c r="BG181" s="554" t="str">
        <f t="shared" si="174"/>
        <v>% Wire Ice</v>
      </c>
      <c r="BH181" s="391">
        <v>70</v>
      </c>
      <c r="BI181" s="389" t="str">
        <f t="shared" si="175"/>
        <v>2:1:Ahead</v>
      </c>
      <c r="BJ181" s="554" t="s">
        <v>572</v>
      </c>
      <c r="BK181" s="391">
        <v>40</v>
      </c>
      <c r="BL181" s="579" t="str">
        <f>$N181+10&amp;":1:"&amp;"Ahead"</f>
        <v>12:1:Ahead</v>
      </c>
      <c r="BM181" s="554" t="s">
        <v>572</v>
      </c>
      <c r="BN181" s="580">
        <f t="shared" si="221"/>
        <v>40</v>
      </c>
      <c r="BO181" s="389" t="str">
        <f t="shared" si="176"/>
        <v>2:1:Back</v>
      </c>
      <c r="BP181" s="554" t="str">
        <f t="shared" si="177"/>
        <v>% Wire Ice</v>
      </c>
      <c r="BQ181" s="391">
        <v>70</v>
      </c>
      <c r="BR181" s="389" t="str">
        <f t="shared" si="178"/>
        <v>3:1:Ahead</v>
      </c>
      <c r="BS181" s="554" t="str">
        <f t="shared" si="179"/>
        <v>% Wire Ice</v>
      </c>
      <c r="BT181" s="391">
        <f t="shared" si="180"/>
        <v>40</v>
      </c>
      <c r="BU181" s="579" t="str">
        <f>$O181+10&amp;":1:"&amp;"Ahead"</f>
        <v>13:1:Ahead</v>
      </c>
      <c r="BV181" s="554" t="str">
        <f t="shared" si="182"/>
        <v>% Wire Ice</v>
      </c>
      <c r="BW181" s="580">
        <f t="shared" ref="BW181:BW184" si="222">IF($L181="A",40,70)</f>
        <v>40</v>
      </c>
      <c r="BX181" s="389" t="str">
        <f t="shared" si="184"/>
        <v>3:1:Back</v>
      </c>
      <c r="BY181" s="554" t="str">
        <f t="shared" si="185"/>
        <v>% Wire Ice</v>
      </c>
      <c r="BZ181" s="391">
        <f t="shared" si="186"/>
        <v>70</v>
      </c>
      <c r="CA181" s="389" t="str">
        <f t="shared" si="187"/>
        <v>4:1:Back+Ahead</v>
      </c>
      <c r="CB181" s="554" t="str">
        <f t="shared" si="188"/>
        <v>% Wire Ice</v>
      </c>
      <c r="CC181" s="391">
        <f t="shared" si="189"/>
        <v>70</v>
      </c>
      <c r="CD181" s="389" t="str">
        <f t="shared" si="190"/>
        <v>14:1:Ahead</v>
      </c>
      <c r="CE181" s="554" t="str">
        <f t="shared" si="191"/>
        <v>% Wire Ice</v>
      </c>
      <c r="CF181" s="391">
        <f t="shared" si="192"/>
        <v>70</v>
      </c>
      <c r="CG181" s="389" t="str">
        <f t="shared" si="193"/>
        <v>5:1:Back+Ahead</v>
      </c>
      <c r="CH181" s="554" t="str">
        <f t="shared" si="194"/>
        <v>% Wire Ice</v>
      </c>
      <c r="CI181" s="391">
        <f t="shared" si="195"/>
        <v>70</v>
      </c>
      <c r="CJ181" s="389" t="str">
        <f t="shared" si="196"/>
        <v>15:1:Ahead</v>
      </c>
      <c r="CK181" s="554" t="str">
        <f t="shared" si="197"/>
        <v>% Wire Ice</v>
      </c>
      <c r="CL181" s="391">
        <f t="shared" si="198"/>
        <v>70</v>
      </c>
      <c r="CM181" s="389" t="str">
        <f t="shared" si="199"/>
        <v>6:1:Back+Ahead</v>
      </c>
      <c r="CN181" s="554" t="str">
        <f t="shared" si="200"/>
        <v>% Wire Ice</v>
      </c>
      <c r="CO181" s="391">
        <f t="shared" si="201"/>
        <v>70</v>
      </c>
      <c r="CP181" s="554" t="str">
        <f t="shared" si="202"/>
        <v>16:1:Ahead</v>
      </c>
      <c r="CQ181" s="554" t="str">
        <f t="shared" si="203"/>
        <v>% Wire Ice</v>
      </c>
      <c r="CR181" s="554">
        <f t="shared" si="204"/>
        <v>70</v>
      </c>
      <c r="CS181" s="554" t="str">
        <f t="shared" si="205"/>
        <v>7:1:Back+Ahead</v>
      </c>
      <c r="CT181" s="554" t="str">
        <f t="shared" si="206"/>
        <v>% Wire Ice</v>
      </c>
      <c r="CU181" s="554">
        <f t="shared" si="207"/>
        <v>70</v>
      </c>
      <c r="CV181" s="554" t="str">
        <f t="shared" si="208"/>
        <v>17:1:Ahead</v>
      </c>
      <c r="CW181" s="554" t="str">
        <f t="shared" si="209"/>
        <v>% Wire Ice</v>
      </c>
      <c r="CX181" s="554">
        <f t="shared" si="210"/>
        <v>70</v>
      </c>
      <c r="CY181" s="554" t="str">
        <f t="shared" si="211"/>
        <v>8:1:Back+Ahead</v>
      </c>
      <c r="CZ181" s="554" t="str">
        <f t="shared" si="212"/>
        <v>% Wire Ice</v>
      </c>
      <c r="DA181" s="554">
        <f t="shared" si="213"/>
        <v>70</v>
      </c>
      <c r="DB181" s="554" t="str">
        <f t="shared" si="214"/>
        <v>18:1:Ahead</v>
      </c>
      <c r="DC181" s="554" t="str">
        <f t="shared" si="215"/>
        <v>% Wire Ice</v>
      </c>
      <c r="DD181" s="554">
        <f t="shared" si="216"/>
        <v>70</v>
      </c>
      <c r="DE181" s="534"/>
      <c r="DF181" s="534"/>
      <c r="DG181" s="534"/>
    </row>
    <row r="182" spans="1:111" ht="15" x14ac:dyDescent="0.25">
      <c r="A182" s="549">
        <f>IFERROR(IF(INDEX('Weather Cases'!$E$10:$E$94,MATCH('Load Criteria'!X182,'Weather Cases'!$H$10:$H$94,0),1)=1,1,"-"),"-")</f>
        <v>1</v>
      </c>
      <c r="B182" s="555" t="s">
        <v>558</v>
      </c>
      <c r="C182" s="556" t="str">
        <f>IF('Weather Cases'!$E$41=0,"","DC")</f>
        <v>DC</v>
      </c>
      <c r="D182" s="555" t="s">
        <v>567</v>
      </c>
      <c r="E182" s="556" t="s">
        <v>22</v>
      </c>
      <c r="F182" s="556" t="s">
        <v>22</v>
      </c>
      <c r="G182" s="556" t="str">
        <f>IFERROR(IF(MID('Load Criteria'!X182,FIND("_",'Load Criteria'!X182,1)+1,1)=LEFT(Control!$D$23,1),"YES","-"),"-")</f>
        <v>YES</v>
      </c>
      <c r="H182" s="549" t="str">
        <f>IF(INDEX('Weather Cases'!$G$10:$G$94,MATCH('Load Criteria'!X182,'Weather Cases'!$H$10:$H$94,0),1)="H","YES","")</f>
        <v>YES</v>
      </c>
      <c r="I182" s="557" t="s">
        <v>320</v>
      </c>
      <c r="J182" s="550">
        <v>50</v>
      </c>
      <c r="K182" s="508" t="s">
        <v>571</v>
      </c>
      <c r="L182" s="508" t="s">
        <v>40</v>
      </c>
      <c r="M182" s="508">
        <v>1</v>
      </c>
      <c r="N182" s="508">
        <v>2</v>
      </c>
      <c r="O182" s="508">
        <v>3</v>
      </c>
      <c r="P182" s="395">
        <v>4</v>
      </c>
      <c r="Q182" s="395">
        <v>5</v>
      </c>
      <c r="R182" s="395">
        <v>6</v>
      </c>
      <c r="S182" s="395">
        <v>7</v>
      </c>
      <c r="T182" s="395">
        <v>8</v>
      </c>
      <c r="U182" s="255" t="s">
        <v>568</v>
      </c>
      <c r="V182" s="551" t="s">
        <v>300</v>
      </c>
      <c r="W182" s="542" t="str">
        <f t="shared" si="51"/>
        <v>TI0050_A8+TB123 NA+</v>
      </c>
      <c r="X182" s="552" t="str">
        <f>I182&amp;TEXT(J182,"0000")&amp;"_"&amp;LEFT(Control!$D$23,1)&amp;LEFT(Control!$D$22,LEN(Control!$D$22)-2)</f>
        <v>TI0050_A8</v>
      </c>
      <c r="Y182" s="552" t="s">
        <v>433</v>
      </c>
      <c r="Z182" s="552" t="str">
        <f t="shared" si="217"/>
        <v>NA+</v>
      </c>
      <c r="AA182" s="552"/>
      <c r="AB182" s="552">
        <v>1</v>
      </c>
      <c r="AC182" s="552">
        <v>1</v>
      </c>
      <c r="AD182" s="552">
        <v>1</v>
      </c>
      <c r="AE182" s="552">
        <v>1</v>
      </c>
      <c r="AF182" s="552">
        <v>1</v>
      </c>
      <c r="AG182" s="542" t="s">
        <v>561</v>
      </c>
      <c r="AH182" s="552">
        <v>0</v>
      </c>
      <c r="AI182" s="552">
        <v>0</v>
      </c>
      <c r="AJ182" s="552">
        <v>1</v>
      </c>
      <c r="AK182" s="552">
        <v>1</v>
      </c>
      <c r="AL182" s="552">
        <v>1</v>
      </c>
      <c r="AM182" s="552">
        <v>0</v>
      </c>
      <c r="AN182" s="552">
        <v>0</v>
      </c>
      <c r="AO182" s="552">
        <v>1</v>
      </c>
      <c r="AP182" s="552">
        <v>1</v>
      </c>
      <c r="AQ182" s="552">
        <v>1</v>
      </c>
      <c r="AR182" s="552">
        <v>1</v>
      </c>
      <c r="AS182" s="552">
        <v>1</v>
      </c>
      <c r="AT182" s="552">
        <v>1</v>
      </c>
      <c r="AU182" s="552">
        <v>1</v>
      </c>
      <c r="AV182" s="553" t="str">
        <f>IF(H182="YES","'"&amp;INDEX('Structure Groups'!$C$12:$C$14,MATCH('Load Criteria'!$B$5,'Structure Groups'!$B$12:$B$14,0),1)&amp;"'","'All'")</f>
        <v>'GL Max 800m'</v>
      </c>
      <c r="AW182" s="552" t="s">
        <v>562</v>
      </c>
      <c r="AX182" s="552"/>
      <c r="AY182" s="552" t="str">
        <f t="shared" si="166"/>
        <v>Yes</v>
      </c>
      <c r="AZ182" s="389" t="str">
        <f t="shared" si="172"/>
        <v>1:1:Back</v>
      </c>
      <c r="BA182" s="554" t="s">
        <v>572</v>
      </c>
      <c r="BB182" s="391">
        <v>40</v>
      </c>
      <c r="BC182" s="579" t="str">
        <f t="shared" si="168"/>
        <v>11:1:Ahead</v>
      </c>
      <c r="BD182" s="554" t="s">
        <v>572</v>
      </c>
      <c r="BE182" s="580">
        <f t="shared" si="219"/>
        <v>70</v>
      </c>
      <c r="BF182" s="389" t="str">
        <f t="shared" si="173"/>
        <v>1:1:Ahead</v>
      </c>
      <c r="BG182" s="554" t="str">
        <f t="shared" si="174"/>
        <v>% Wire Ice</v>
      </c>
      <c r="BH182" s="391">
        <v>70</v>
      </c>
      <c r="BI182" s="389" t="str">
        <f t="shared" si="175"/>
        <v>2:1:Back</v>
      </c>
      <c r="BJ182" s="554" t="s">
        <v>572</v>
      </c>
      <c r="BK182" s="391">
        <v>40</v>
      </c>
      <c r="BL182" s="579" t="str">
        <f t="shared" ref="BL182:BL184" si="223">$N182+10&amp;":1:"&amp;"Ahead"</f>
        <v>12:1:Ahead</v>
      </c>
      <c r="BM182" s="554" t="s">
        <v>572</v>
      </c>
      <c r="BN182" s="580">
        <f t="shared" si="221"/>
        <v>70</v>
      </c>
      <c r="BO182" s="389" t="str">
        <f t="shared" si="176"/>
        <v>2:1:Ahead</v>
      </c>
      <c r="BP182" s="554" t="str">
        <f t="shared" si="177"/>
        <v>% Wire Ice</v>
      </c>
      <c r="BQ182" s="391">
        <v>70</v>
      </c>
      <c r="BR182" s="389" t="str">
        <f t="shared" si="178"/>
        <v>3:1:Back</v>
      </c>
      <c r="BS182" s="554" t="str">
        <f t="shared" si="179"/>
        <v>% Wire Ice</v>
      </c>
      <c r="BT182" s="391">
        <f t="shared" si="180"/>
        <v>40</v>
      </c>
      <c r="BU182" s="579" t="str">
        <f t="shared" ref="BU182:BU184" si="224">$O182+10&amp;":1:"&amp;"Ahead"</f>
        <v>13:1:Ahead</v>
      </c>
      <c r="BV182" s="554" t="str">
        <f t="shared" si="182"/>
        <v>% Wire Ice</v>
      </c>
      <c r="BW182" s="580">
        <f t="shared" si="222"/>
        <v>70</v>
      </c>
      <c r="BX182" s="389" t="str">
        <f t="shared" si="184"/>
        <v>3:1:Ahead</v>
      </c>
      <c r="BY182" s="554" t="str">
        <f t="shared" si="185"/>
        <v>% Wire Ice</v>
      </c>
      <c r="BZ182" s="391">
        <f t="shared" si="186"/>
        <v>70</v>
      </c>
      <c r="CA182" s="389" t="str">
        <f t="shared" si="187"/>
        <v>4:1:Back+Ahead</v>
      </c>
      <c r="CB182" s="554" t="str">
        <f t="shared" si="188"/>
        <v>% Wire Ice</v>
      </c>
      <c r="CC182" s="391">
        <f t="shared" si="189"/>
        <v>70</v>
      </c>
      <c r="CD182" s="389" t="str">
        <f t="shared" si="190"/>
        <v>14:1:Ahead</v>
      </c>
      <c r="CE182" s="554" t="str">
        <f t="shared" si="191"/>
        <v>% Wire Ice</v>
      </c>
      <c r="CF182" s="391">
        <f t="shared" si="192"/>
        <v>70</v>
      </c>
      <c r="CG182" s="389" t="str">
        <f t="shared" si="193"/>
        <v>5:1:Back+Ahead</v>
      </c>
      <c r="CH182" s="554" t="str">
        <f t="shared" si="194"/>
        <v>% Wire Ice</v>
      </c>
      <c r="CI182" s="391">
        <f t="shared" si="195"/>
        <v>70</v>
      </c>
      <c r="CJ182" s="389" t="str">
        <f t="shared" si="196"/>
        <v>15:1:Ahead</v>
      </c>
      <c r="CK182" s="554" t="str">
        <f t="shared" si="197"/>
        <v>% Wire Ice</v>
      </c>
      <c r="CL182" s="391">
        <f t="shared" si="198"/>
        <v>70</v>
      </c>
      <c r="CM182" s="389" t="str">
        <f t="shared" si="199"/>
        <v>6:1:Back+Ahead</v>
      </c>
      <c r="CN182" s="554" t="str">
        <f t="shared" si="200"/>
        <v>% Wire Ice</v>
      </c>
      <c r="CO182" s="391">
        <f t="shared" si="201"/>
        <v>70</v>
      </c>
      <c r="CP182" s="554" t="str">
        <f t="shared" si="202"/>
        <v>16:1:Ahead</v>
      </c>
      <c r="CQ182" s="554" t="str">
        <f t="shared" si="203"/>
        <v>% Wire Ice</v>
      </c>
      <c r="CR182" s="554">
        <f t="shared" si="204"/>
        <v>70</v>
      </c>
      <c r="CS182" s="554" t="str">
        <f t="shared" si="205"/>
        <v>7:1:Back+Ahead</v>
      </c>
      <c r="CT182" s="554" t="str">
        <f t="shared" si="206"/>
        <v>% Wire Ice</v>
      </c>
      <c r="CU182" s="554">
        <f t="shared" si="207"/>
        <v>70</v>
      </c>
      <c r="CV182" s="554" t="str">
        <f t="shared" si="208"/>
        <v>17:1:Ahead</v>
      </c>
      <c r="CW182" s="554" t="str">
        <f t="shared" si="209"/>
        <v>% Wire Ice</v>
      </c>
      <c r="CX182" s="554">
        <f t="shared" si="210"/>
        <v>70</v>
      </c>
      <c r="CY182" s="554" t="str">
        <f t="shared" si="211"/>
        <v>8:1:Back+Ahead</v>
      </c>
      <c r="CZ182" s="554" t="str">
        <f t="shared" si="212"/>
        <v>% Wire Ice</v>
      </c>
      <c r="DA182" s="554">
        <f t="shared" si="213"/>
        <v>70</v>
      </c>
      <c r="DB182" s="554" t="str">
        <f t="shared" si="214"/>
        <v>18:1:Ahead</v>
      </c>
      <c r="DC182" s="554" t="str">
        <f t="shared" si="215"/>
        <v>% Wire Ice</v>
      </c>
      <c r="DD182" s="554">
        <f t="shared" si="216"/>
        <v>70</v>
      </c>
      <c r="DE182" s="534"/>
      <c r="DF182" s="534"/>
      <c r="DG182" s="534"/>
    </row>
    <row r="183" spans="1:111" ht="15" x14ac:dyDescent="0.25">
      <c r="A183" s="549">
        <f>IFERROR(IF(INDEX('Weather Cases'!$E$10:$E$94,MATCH('Load Criteria'!X183,'Weather Cases'!$H$10:$H$94,0),1)=1,1,"-"),"-")</f>
        <v>1</v>
      </c>
      <c r="B183" s="555" t="s">
        <v>558</v>
      </c>
      <c r="C183" s="556" t="str">
        <f>IF('Weather Cases'!$E$41=0,"","DC")</f>
        <v>DC</v>
      </c>
      <c r="D183" s="555" t="s">
        <v>567</v>
      </c>
      <c r="E183" s="556" t="s">
        <v>22</v>
      </c>
      <c r="F183" s="556" t="s">
        <v>22</v>
      </c>
      <c r="G183" s="556" t="str">
        <f>IFERROR(IF(MID('Load Criteria'!X183,FIND("_",'Load Criteria'!X183,1)+1,1)=LEFT(Control!$D$23,1),"YES","-"),"-")</f>
        <v>YES</v>
      </c>
      <c r="H183" s="549" t="str">
        <f>IF(INDEX('Weather Cases'!$G$10:$G$94,MATCH('Load Criteria'!X183,'Weather Cases'!$H$10:$H$94,0),1)="H","YES","")</f>
        <v>YES</v>
      </c>
      <c r="I183" s="557" t="s">
        <v>320</v>
      </c>
      <c r="J183" s="550">
        <v>50</v>
      </c>
      <c r="K183" s="508" t="s">
        <v>571</v>
      </c>
      <c r="L183" s="508" t="s">
        <v>24</v>
      </c>
      <c r="M183" s="508">
        <v>4</v>
      </c>
      <c r="N183" s="508">
        <v>5</v>
      </c>
      <c r="O183" s="508">
        <v>6</v>
      </c>
      <c r="P183" s="395">
        <v>1</v>
      </c>
      <c r="Q183" s="395">
        <v>2</v>
      </c>
      <c r="R183" s="395">
        <v>3</v>
      </c>
      <c r="S183" s="395">
        <v>7</v>
      </c>
      <c r="T183" s="395">
        <v>8</v>
      </c>
      <c r="U183" s="255" t="s">
        <v>568</v>
      </c>
      <c r="V183" s="551" t="s">
        <v>300</v>
      </c>
      <c r="W183" s="542" t="str">
        <f t="shared" si="51"/>
        <v>TI0050_A8+TA456 NA+</v>
      </c>
      <c r="X183" s="552" t="str">
        <f>I183&amp;TEXT(J183,"0000")&amp;"_"&amp;LEFT(Control!$D$23,1)&amp;LEFT(Control!$D$22,LEN(Control!$D$22)-2)</f>
        <v>TI0050_A8</v>
      </c>
      <c r="Y183" s="552" t="s">
        <v>433</v>
      </c>
      <c r="Z183" s="552" t="str">
        <f t="shared" si="217"/>
        <v>NA+</v>
      </c>
      <c r="AA183" s="552"/>
      <c r="AB183" s="552">
        <v>1</v>
      </c>
      <c r="AC183" s="552">
        <v>1</v>
      </c>
      <c r="AD183" s="552">
        <v>1</v>
      </c>
      <c r="AE183" s="552">
        <v>1</v>
      </c>
      <c r="AF183" s="552">
        <v>1</v>
      </c>
      <c r="AG183" s="542" t="s">
        <v>561</v>
      </c>
      <c r="AH183" s="552">
        <v>0</v>
      </c>
      <c r="AI183" s="552">
        <v>0</v>
      </c>
      <c r="AJ183" s="552">
        <v>1</v>
      </c>
      <c r="AK183" s="552">
        <v>1</v>
      </c>
      <c r="AL183" s="552">
        <v>1</v>
      </c>
      <c r="AM183" s="552">
        <v>0</v>
      </c>
      <c r="AN183" s="552">
        <v>0</v>
      </c>
      <c r="AO183" s="552">
        <v>1</v>
      </c>
      <c r="AP183" s="552">
        <v>1</v>
      </c>
      <c r="AQ183" s="552">
        <v>1</v>
      </c>
      <c r="AR183" s="552">
        <v>1</v>
      </c>
      <c r="AS183" s="552">
        <v>1</v>
      </c>
      <c r="AT183" s="552">
        <v>1</v>
      </c>
      <c r="AU183" s="552">
        <v>1</v>
      </c>
      <c r="AV183" s="553" t="str">
        <f>IF(H183="YES","'"&amp;INDEX('Structure Groups'!$C$12:$C$14,MATCH('Load Criteria'!$B$5,'Structure Groups'!$B$12:$B$14,0),1)&amp;"'","'All'")</f>
        <v>'GL Max 800m'</v>
      </c>
      <c r="AW183" s="552" t="s">
        <v>562</v>
      </c>
      <c r="AX183" s="552"/>
      <c r="AY183" s="552" t="str">
        <f t="shared" si="166"/>
        <v>Yes</v>
      </c>
      <c r="AZ183" s="389" t="str">
        <f t="shared" si="172"/>
        <v>4:1:Ahead</v>
      </c>
      <c r="BA183" s="554" t="s">
        <v>572</v>
      </c>
      <c r="BB183" s="391">
        <v>40</v>
      </c>
      <c r="BC183" s="579" t="str">
        <f t="shared" si="168"/>
        <v>14:1:Ahead</v>
      </c>
      <c r="BD183" s="554" t="s">
        <v>572</v>
      </c>
      <c r="BE183" s="580">
        <f t="shared" si="219"/>
        <v>40</v>
      </c>
      <c r="BF183" s="389" t="str">
        <f t="shared" si="173"/>
        <v>4:1:Back</v>
      </c>
      <c r="BG183" s="554" t="str">
        <f t="shared" si="174"/>
        <v>% Wire Ice</v>
      </c>
      <c r="BH183" s="391">
        <v>70</v>
      </c>
      <c r="BI183" s="389" t="str">
        <f t="shared" si="175"/>
        <v>5:1:Ahead</v>
      </c>
      <c r="BJ183" s="554" t="s">
        <v>572</v>
      </c>
      <c r="BK183" s="391">
        <v>40</v>
      </c>
      <c r="BL183" s="579" t="str">
        <f t="shared" si="223"/>
        <v>15:1:Ahead</v>
      </c>
      <c r="BM183" s="554" t="s">
        <v>572</v>
      </c>
      <c r="BN183" s="580">
        <f t="shared" si="221"/>
        <v>40</v>
      </c>
      <c r="BO183" s="389" t="str">
        <f t="shared" si="176"/>
        <v>5:1:Back</v>
      </c>
      <c r="BP183" s="554" t="str">
        <f t="shared" si="177"/>
        <v>% Wire Ice</v>
      </c>
      <c r="BQ183" s="391">
        <v>70</v>
      </c>
      <c r="BR183" s="389" t="str">
        <f t="shared" si="178"/>
        <v>6:1:Ahead</v>
      </c>
      <c r="BS183" s="554" t="str">
        <f t="shared" si="179"/>
        <v>% Wire Ice</v>
      </c>
      <c r="BT183" s="391">
        <f t="shared" si="180"/>
        <v>40</v>
      </c>
      <c r="BU183" s="579" t="str">
        <f t="shared" si="224"/>
        <v>16:1:Ahead</v>
      </c>
      <c r="BV183" s="554" t="str">
        <f t="shared" si="182"/>
        <v>% Wire Ice</v>
      </c>
      <c r="BW183" s="580">
        <f t="shared" si="222"/>
        <v>40</v>
      </c>
      <c r="BX183" s="389" t="str">
        <f t="shared" si="184"/>
        <v>6:1:Back</v>
      </c>
      <c r="BY183" s="554" t="str">
        <f t="shared" si="185"/>
        <v>% Wire Ice</v>
      </c>
      <c r="BZ183" s="391">
        <f t="shared" si="186"/>
        <v>70</v>
      </c>
      <c r="CA183" s="389" t="str">
        <f t="shared" si="187"/>
        <v>1:1:Back+Ahead</v>
      </c>
      <c r="CB183" s="554" t="str">
        <f t="shared" si="188"/>
        <v>% Wire Ice</v>
      </c>
      <c r="CC183" s="391">
        <f t="shared" si="189"/>
        <v>70</v>
      </c>
      <c r="CD183" s="389" t="str">
        <f t="shared" si="190"/>
        <v>11:1:Ahead</v>
      </c>
      <c r="CE183" s="554" t="str">
        <f t="shared" si="191"/>
        <v>% Wire Ice</v>
      </c>
      <c r="CF183" s="391">
        <f t="shared" si="192"/>
        <v>70</v>
      </c>
      <c r="CG183" s="389" t="str">
        <f t="shared" si="193"/>
        <v>2:1:Back+Ahead</v>
      </c>
      <c r="CH183" s="554" t="str">
        <f t="shared" si="194"/>
        <v>% Wire Ice</v>
      </c>
      <c r="CI183" s="391">
        <f t="shared" si="195"/>
        <v>70</v>
      </c>
      <c r="CJ183" s="389" t="str">
        <f t="shared" si="196"/>
        <v>12:1:Ahead</v>
      </c>
      <c r="CK183" s="554" t="str">
        <f t="shared" si="197"/>
        <v>% Wire Ice</v>
      </c>
      <c r="CL183" s="391">
        <f t="shared" si="198"/>
        <v>70</v>
      </c>
      <c r="CM183" s="389" t="str">
        <f t="shared" si="199"/>
        <v>3:1:Back+Ahead</v>
      </c>
      <c r="CN183" s="554" t="str">
        <f t="shared" si="200"/>
        <v>% Wire Ice</v>
      </c>
      <c r="CO183" s="391">
        <f t="shared" si="201"/>
        <v>70</v>
      </c>
      <c r="CP183" s="554" t="str">
        <f t="shared" si="202"/>
        <v>13:1:Ahead</v>
      </c>
      <c r="CQ183" s="554" t="str">
        <f t="shared" si="203"/>
        <v>% Wire Ice</v>
      </c>
      <c r="CR183" s="554">
        <f t="shared" si="204"/>
        <v>70</v>
      </c>
      <c r="CS183" s="554" t="str">
        <f t="shared" si="205"/>
        <v>7:1:Back+Ahead</v>
      </c>
      <c r="CT183" s="554" t="str">
        <f t="shared" si="206"/>
        <v>% Wire Ice</v>
      </c>
      <c r="CU183" s="554">
        <f t="shared" si="207"/>
        <v>70</v>
      </c>
      <c r="CV183" s="554" t="str">
        <f t="shared" si="208"/>
        <v>17:1:Ahead</v>
      </c>
      <c r="CW183" s="554" t="str">
        <f t="shared" si="209"/>
        <v>% Wire Ice</v>
      </c>
      <c r="CX183" s="554">
        <f t="shared" si="210"/>
        <v>70</v>
      </c>
      <c r="CY183" s="554" t="str">
        <f t="shared" si="211"/>
        <v>8:1:Back+Ahead</v>
      </c>
      <c r="CZ183" s="554" t="str">
        <f t="shared" si="212"/>
        <v>% Wire Ice</v>
      </c>
      <c r="DA183" s="554">
        <f t="shared" si="213"/>
        <v>70</v>
      </c>
      <c r="DB183" s="554" t="str">
        <f t="shared" si="214"/>
        <v>18:1:Ahead</v>
      </c>
      <c r="DC183" s="554" t="str">
        <f t="shared" si="215"/>
        <v>% Wire Ice</v>
      </c>
      <c r="DD183" s="554">
        <f t="shared" si="216"/>
        <v>70</v>
      </c>
      <c r="DE183" s="534"/>
      <c r="DF183" s="534"/>
      <c r="DG183" s="534"/>
    </row>
    <row r="184" spans="1:111" ht="15" x14ac:dyDescent="0.25">
      <c r="A184" s="549">
        <f>IFERROR(IF(INDEX('Weather Cases'!$E$10:$E$94,MATCH('Load Criteria'!X184,'Weather Cases'!$H$10:$H$94,0),1)=1,1,"-"),"-")</f>
        <v>1</v>
      </c>
      <c r="B184" s="555" t="s">
        <v>558</v>
      </c>
      <c r="C184" s="556" t="str">
        <f>IF('Weather Cases'!$E$41=0,"","DC")</f>
        <v>DC</v>
      </c>
      <c r="D184" s="555" t="s">
        <v>567</v>
      </c>
      <c r="E184" s="556" t="s">
        <v>22</v>
      </c>
      <c r="F184" s="556" t="s">
        <v>22</v>
      </c>
      <c r="G184" s="556" t="str">
        <f>IFERROR(IF(MID('Load Criteria'!X184,FIND("_",'Load Criteria'!X184,1)+1,1)=LEFT(Control!$D$23,1),"YES","-"),"-")</f>
        <v>YES</v>
      </c>
      <c r="H184" s="549" t="str">
        <f>IF(INDEX('Weather Cases'!$G$10:$G$94,MATCH('Load Criteria'!X184,'Weather Cases'!$H$10:$H$94,0),1)="H","YES","")</f>
        <v>YES</v>
      </c>
      <c r="I184" s="557" t="s">
        <v>320</v>
      </c>
      <c r="J184" s="550">
        <v>50</v>
      </c>
      <c r="K184" s="508" t="s">
        <v>571</v>
      </c>
      <c r="L184" s="508" t="s">
        <v>40</v>
      </c>
      <c r="M184" s="508">
        <v>4</v>
      </c>
      <c r="N184" s="508">
        <v>5</v>
      </c>
      <c r="O184" s="508">
        <v>6</v>
      </c>
      <c r="P184" s="395">
        <v>1</v>
      </c>
      <c r="Q184" s="395">
        <v>2</v>
      </c>
      <c r="R184" s="395">
        <v>3</v>
      </c>
      <c r="S184" s="395">
        <v>7</v>
      </c>
      <c r="T184" s="395">
        <v>8</v>
      </c>
      <c r="U184" s="255" t="s">
        <v>568</v>
      </c>
      <c r="V184" s="551" t="s">
        <v>300</v>
      </c>
      <c r="W184" s="542" t="str">
        <f t="shared" si="51"/>
        <v>TI0050_A8+TB456 NA+</v>
      </c>
      <c r="X184" s="552" t="str">
        <f>I184&amp;TEXT(J184,"0000")&amp;"_"&amp;LEFT(Control!$D$23,1)&amp;LEFT(Control!$D$22,LEN(Control!$D$22)-2)</f>
        <v>TI0050_A8</v>
      </c>
      <c r="Y184" s="552" t="s">
        <v>433</v>
      </c>
      <c r="Z184" s="552" t="str">
        <f t="shared" si="217"/>
        <v>NA+</v>
      </c>
      <c r="AA184" s="552"/>
      <c r="AB184" s="552">
        <v>1</v>
      </c>
      <c r="AC184" s="552">
        <v>1</v>
      </c>
      <c r="AD184" s="552">
        <v>1</v>
      </c>
      <c r="AE184" s="552">
        <v>1</v>
      </c>
      <c r="AF184" s="552">
        <v>1</v>
      </c>
      <c r="AG184" s="542" t="s">
        <v>561</v>
      </c>
      <c r="AH184" s="552">
        <v>0</v>
      </c>
      <c r="AI184" s="552">
        <v>0</v>
      </c>
      <c r="AJ184" s="552">
        <v>1</v>
      </c>
      <c r="AK184" s="552">
        <v>1</v>
      </c>
      <c r="AL184" s="552">
        <v>1</v>
      </c>
      <c r="AM184" s="552">
        <v>0</v>
      </c>
      <c r="AN184" s="552">
        <v>0</v>
      </c>
      <c r="AO184" s="552">
        <v>1</v>
      </c>
      <c r="AP184" s="552">
        <v>1</v>
      </c>
      <c r="AQ184" s="552">
        <v>1</v>
      </c>
      <c r="AR184" s="552">
        <v>1</v>
      </c>
      <c r="AS184" s="552">
        <v>1</v>
      </c>
      <c r="AT184" s="552">
        <v>1</v>
      </c>
      <c r="AU184" s="552">
        <v>1</v>
      </c>
      <c r="AV184" s="553" t="str">
        <f>IF(H184="YES","'"&amp;INDEX('Structure Groups'!$C$12:$C$14,MATCH('Load Criteria'!$B$5,'Structure Groups'!$B$12:$B$14,0),1)&amp;"'","'All'")</f>
        <v>'GL Max 800m'</v>
      </c>
      <c r="AW184" s="552" t="s">
        <v>562</v>
      </c>
      <c r="AX184" s="552"/>
      <c r="AY184" s="552" t="str">
        <f t="shared" si="166"/>
        <v>Yes</v>
      </c>
      <c r="AZ184" s="389" t="str">
        <f t="shared" si="172"/>
        <v>4:1:Back</v>
      </c>
      <c r="BA184" s="554" t="s">
        <v>572</v>
      </c>
      <c r="BB184" s="391">
        <v>40</v>
      </c>
      <c r="BC184" s="579" t="str">
        <f t="shared" si="168"/>
        <v>14:1:Ahead</v>
      </c>
      <c r="BD184" s="554" t="s">
        <v>572</v>
      </c>
      <c r="BE184" s="580">
        <f t="shared" si="219"/>
        <v>70</v>
      </c>
      <c r="BF184" s="389" t="str">
        <f t="shared" si="173"/>
        <v>4:1:Ahead</v>
      </c>
      <c r="BG184" s="554" t="str">
        <f t="shared" si="174"/>
        <v>% Wire Ice</v>
      </c>
      <c r="BH184" s="391">
        <v>70</v>
      </c>
      <c r="BI184" s="389" t="str">
        <f t="shared" si="175"/>
        <v>5:1:Back</v>
      </c>
      <c r="BJ184" s="554" t="s">
        <v>572</v>
      </c>
      <c r="BK184" s="391">
        <v>40</v>
      </c>
      <c r="BL184" s="579" t="str">
        <f t="shared" si="223"/>
        <v>15:1:Ahead</v>
      </c>
      <c r="BM184" s="554" t="s">
        <v>572</v>
      </c>
      <c r="BN184" s="580">
        <f t="shared" si="221"/>
        <v>70</v>
      </c>
      <c r="BO184" s="389" t="str">
        <f t="shared" si="176"/>
        <v>5:1:Ahead</v>
      </c>
      <c r="BP184" s="554" t="str">
        <f t="shared" si="177"/>
        <v>% Wire Ice</v>
      </c>
      <c r="BQ184" s="391">
        <v>70</v>
      </c>
      <c r="BR184" s="389" t="str">
        <f t="shared" si="178"/>
        <v>6:1:Back</v>
      </c>
      <c r="BS184" s="554" t="str">
        <f t="shared" si="179"/>
        <v>% Wire Ice</v>
      </c>
      <c r="BT184" s="391">
        <f t="shared" si="180"/>
        <v>40</v>
      </c>
      <c r="BU184" s="579" t="str">
        <f t="shared" si="224"/>
        <v>16:1:Ahead</v>
      </c>
      <c r="BV184" s="554" t="str">
        <f t="shared" si="182"/>
        <v>% Wire Ice</v>
      </c>
      <c r="BW184" s="580">
        <f t="shared" si="222"/>
        <v>70</v>
      </c>
      <c r="BX184" s="389" t="str">
        <f t="shared" si="184"/>
        <v>6:1:Ahead</v>
      </c>
      <c r="BY184" s="554" t="str">
        <f t="shared" si="185"/>
        <v>% Wire Ice</v>
      </c>
      <c r="BZ184" s="391">
        <f t="shared" si="186"/>
        <v>70</v>
      </c>
      <c r="CA184" s="389" t="str">
        <f t="shared" si="187"/>
        <v>1:1:Back+Ahead</v>
      </c>
      <c r="CB184" s="554" t="str">
        <f t="shared" si="188"/>
        <v>% Wire Ice</v>
      </c>
      <c r="CC184" s="391">
        <f t="shared" si="189"/>
        <v>70</v>
      </c>
      <c r="CD184" s="389" t="str">
        <f t="shared" si="190"/>
        <v>11:1:Ahead</v>
      </c>
      <c r="CE184" s="554" t="str">
        <f t="shared" si="191"/>
        <v>% Wire Ice</v>
      </c>
      <c r="CF184" s="391">
        <f t="shared" si="192"/>
        <v>70</v>
      </c>
      <c r="CG184" s="389" t="str">
        <f t="shared" si="193"/>
        <v>2:1:Back+Ahead</v>
      </c>
      <c r="CH184" s="554" t="str">
        <f t="shared" si="194"/>
        <v>% Wire Ice</v>
      </c>
      <c r="CI184" s="391">
        <f t="shared" si="195"/>
        <v>70</v>
      </c>
      <c r="CJ184" s="389" t="str">
        <f t="shared" si="196"/>
        <v>12:1:Ahead</v>
      </c>
      <c r="CK184" s="554" t="str">
        <f t="shared" si="197"/>
        <v>% Wire Ice</v>
      </c>
      <c r="CL184" s="391">
        <f t="shared" si="198"/>
        <v>70</v>
      </c>
      <c r="CM184" s="389" t="str">
        <f t="shared" si="199"/>
        <v>3:1:Back+Ahead</v>
      </c>
      <c r="CN184" s="554" t="str">
        <f t="shared" si="200"/>
        <v>% Wire Ice</v>
      </c>
      <c r="CO184" s="391">
        <f t="shared" si="201"/>
        <v>70</v>
      </c>
      <c r="CP184" s="554" t="str">
        <f t="shared" si="202"/>
        <v>13:1:Ahead</v>
      </c>
      <c r="CQ184" s="554" t="str">
        <f t="shared" si="203"/>
        <v>% Wire Ice</v>
      </c>
      <c r="CR184" s="554">
        <f t="shared" si="204"/>
        <v>70</v>
      </c>
      <c r="CS184" s="554" t="str">
        <f t="shared" si="205"/>
        <v>7:1:Back+Ahead</v>
      </c>
      <c r="CT184" s="554" t="str">
        <f t="shared" si="206"/>
        <v>% Wire Ice</v>
      </c>
      <c r="CU184" s="554">
        <f t="shared" si="207"/>
        <v>70</v>
      </c>
      <c r="CV184" s="554" t="str">
        <f t="shared" si="208"/>
        <v>17:1:Ahead</v>
      </c>
      <c r="CW184" s="554" t="str">
        <f t="shared" si="209"/>
        <v>% Wire Ice</v>
      </c>
      <c r="CX184" s="554">
        <f t="shared" si="210"/>
        <v>70</v>
      </c>
      <c r="CY184" s="554" t="str">
        <f t="shared" si="211"/>
        <v>8:1:Back+Ahead</v>
      </c>
      <c r="CZ184" s="554" t="str">
        <f t="shared" si="212"/>
        <v>% Wire Ice</v>
      </c>
      <c r="DA184" s="554">
        <f t="shared" si="213"/>
        <v>70</v>
      </c>
      <c r="DB184" s="554" t="str">
        <f t="shared" si="214"/>
        <v>18:1:Ahead</v>
      </c>
      <c r="DC184" s="554" t="str">
        <f t="shared" si="215"/>
        <v>% Wire Ice</v>
      </c>
      <c r="DD184" s="554">
        <f t="shared" si="216"/>
        <v>70</v>
      </c>
      <c r="DE184" s="534"/>
      <c r="DF184" s="534"/>
      <c r="DG184" s="534"/>
    </row>
    <row r="185" spans="1:111" ht="15" x14ac:dyDescent="0.25">
      <c r="A185" s="549">
        <f>IFERROR(IF(INDEX('Weather Cases'!$E$10:$E$94,MATCH('Load Criteria'!X185,'Weather Cases'!$H$10:$H$94,0),1)=1,1,"-"),"-")</f>
        <v>1</v>
      </c>
      <c r="B185" s="555" t="s">
        <v>558</v>
      </c>
      <c r="C185" s="556" t="str">
        <f>IF('Weather Cases'!$E$41=0,"","DC/SC")</f>
        <v>DC/SC</v>
      </c>
      <c r="D185" s="555" t="s">
        <v>567</v>
      </c>
      <c r="E185" s="556" t="s">
        <v>22</v>
      </c>
      <c r="F185" s="556" t="s">
        <v>22</v>
      </c>
      <c r="G185" s="556" t="str">
        <f>IFERROR(IF(MID('Load Criteria'!X185,FIND("_",'Load Criteria'!X185,1)+1,1)=LEFT(Control!$D$23,1),"YES","-"),"-")</f>
        <v>YES</v>
      </c>
      <c r="H185" s="549" t="str">
        <f>IF(INDEX('Weather Cases'!$G$10:$G$94,MATCH('Load Criteria'!X185,'Weather Cases'!$H$10:$H$94,0),1)="H","YES","")</f>
        <v>YES</v>
      </c>
      <c r="I185" s="557" t="s">
        <v>320</v>
      </c>
      <c r="J185" s="550">
        <v>50</v>
      </c>
      <c r="K185" s="508" t="s">
        <v>88</v>
      </c>
      <c r="L185" s="508"/>
      <c r="M185" s="508"/>
      <c r="N185" s="508"/>
      <c r="O185" s="508"/>
      <c r="P185" s="395"/>
      <c r="Q185" s="395"/>
      <c r="R185" s="395"/>
      <c r="S185" s="395"/>
      <c r="T185" s="395"/>
      <c r="U185" s="255" t="s">
        <v>574</v>
      </c>
      <c r="V185" s="551" t="s">
        <v>300</v>
      </c>
      <c r="W185" s="542" t="str">
        <f t="shared" si="51"/>
        <v>TI0050_A8+E NA-</v>
      </c>
      <c r="X185" s="552" t="str">
        <f>I185&amp;TEXT(J185,"0000")&amp;"_"&amp;LEFT(Control!$D$23,1)&amp;LEFT(Control!$D$22,LEN(Control!$D$22)-2)</f>
        <v>TI0050_A8</v>
      </c>
      <c r="Y185" s="552" t="s">
        <v>433</v>
      </c>
      <c r="Z185" s="552" t="str">
        <f>U185</f>
        <v>NA-</v>
      </c>
      <c r="AA185" s="552"/>
      <c r="AB185" s="552">
        <v>1</v>
      </c>
      <c r="AC185" s="552">
        <v>1</v>
      </c>
      <c r="AD185" s="552">
        <v>1</v>
      </c>
      <c r="AE185" s="552">
        <v>1</v>
      </c>
      <c r="AF185" s="552">
        <v>1</v>
      </c>
      <c r="AG185" s="542" t="s">
        <v>561</v>
      </c>
      <c r="AH185" s="552">
        <v>0</v>
      </c>
      <c r="AI185" s="552">
        <v>0</v>
      </c>
      <c r="AJ185" s="552">
        <v>1</v>
      </c>
      <c r="AK185" s="552">
        <v>1</v>
      </c>
      <c r="AL185" s="552">
        <v>1</v>
      </c>
      <c r="AM185" s="552">
        <v>0</v>
      </c>
      <c r="AN185" s="552">
        <v>0</v>
      </c>
      <c r="AO185" s="552">
        <v>1</v>
      </c>
      <c r="AP185" s="552">
        <v>1</v>
      </c>
      <c r="AQ185" s="552">
        <v>1</v>
      </c>
      <c r="AR185" s="552">
        <v>1</v>
      </c>
      <c r="AS185" s="552">
        <v>1</v>
      </c>
      <c r="AT185" s="552">
        <v>1</v>
      </c>
      <c r="AU185" s="552">
        <v>1</v>
      </c>
      <c r="AV185" s="553" t="str">
        <f>IF(H185="YES","'"&amp;INDEX('Structure Groups'!$C$12:$C$14,MATCH('Load Criteria'!$B$5,'Structure Groups'!$B$12:$B$14,0),1)&amp;"'","'All'")</f>
        <v>'GL Max 800m'</v>
      </c>
      <c r="AW185" s="552" t="s">
        <v>562</v>
      </c>
      <c r="AX185" s="552"/>
      <c r="AY185" s="552" t="str">
        <f t="shared" si="166"/>
        <v>No</v>
      </c>
      <c r="AZ185" s="554" t="str">
        <f>IF(AY185="No","",IF(L185="A","Ahead Spans","Back Spans"))</f>
        <v/>
      </c>
      <c r="BA185" s="554"/>
      <c r="BB185" s="552"/>
      <c r="BC185" s="554"/>
      <c r="BD185" s="552"/>
      <c r="BE185" s="554"/>
      <c r="BF185" s="554"/>
      <c r="BG185" s="554"/>
      <c r="BH185" s="554"/>
      <c r="BI185" s="554"/>
      <c r="BJ185" s="554"/>
      <c r="BK185" s="554"/>
      <c r="BL185" s="554"/>
      <c r="BM185" s="554"/>
      <c r="BN185" s="554"/>
      <c r="BO185" s="554"/>
      <c r="BP185" s="554"/>
      <c r="BQ185" s="554"/>
      <c r="BR185" s="554"/>
      <c r="BS185" s="554"/>
      <c r="BT185" s="554"/>
      <c r="BU185" s="554"/>
      <c r="BV185" s="554"/>
      <c r="BW185" s="554"/>
      <c r="BX185" s="554"/>
      <c r="BY185" s="554"/>
      <c r="BZ185" s="554"/>
      <c r="CA185" s="554"/>
      <c r="CB185" s="554"/>
      <c r="CC185" s="554"/>
      <c r="CD185" s="554"/>
      <c r="CE185" s="554"/>
      <c r="CF185" s="554"/>
      <c r="CG185" s="554"/>
      <c r="CH185" s="554"/>
      <c r="CI185" s="554"/>
      <c r="CJ185" s="554"/>
      <c r="CK185" s="554"/>
      <c r="CL185" s="554"/>
      <c r="CM185" s="554"/>
      <c r="CN185" s="554"/>
      <c r="CO185" s="554"/>
      <c r="CP185" s="554"/>
      <c r="CQ185" s="554"/>
      <c r="CR185" s="554"/>
      <c r="CS185" s="554"/>
      <c r="CT185" s="554"/>
      <c r="CU185" s="554"/>
      <c r="CV185" s="554"/>
      <c r="CW185" s="554"/>
      <c r="CX185" s="554"/>
      <c r="CY185" s="554"/>
      <c r="CZ185" s="554"/>
      <c r="DA185" s="554"/>
      <c r="DB185" s="554"/>
      <c r="DC185" s="554"/>
      <c r="DD185" s="554"/>
      <c r="DE185" s="534"/>
      <c r="DF185" s="534"/>
      <c r="DG185" s="534"/>
    </row>
    <row r="186" spans="1:111" ht="15" x14ac:dyDescent="0.25">
      <c r="A186" s="549">
        <f>IFERROR(IF(INDEX('Weather Cases'!$E$10:$E$94,MATCH('Load Criteria'!X186,'Weather Cases'!$H$10:$H$94,0),1)=1,1,"-"),"-")</f>
        <v>1</v>
      </c>
      <c r="B186" s="555" t="s">
        <v>558</v>
      </c>
      <c r="C186" s="556" t="str">
        <f>IF('Weather Cases'!$E$41=0,"","DC/SC")</f>
        <v>DC/SC</v>
      </c>
      <c r="D186" s="555" t="s">
        <v>567</v>
      </c>
      <c r="E186" s="556" t="s">
        <v>22</v>
      </c>
      <c r="F186" s="556" t="s">
        <v>22</v>
      </c>
      <c r="G186" s="556" t="str">
        <f>IFERROR(IF(MID('Load Criteria'!X186,FIND("_",'Load Criteria'!X186,1)+1,1)=LEFT(Control!$D$23,1),"YES","-"),"-")</f>
        <v>YES</v>
      </c>
      <c r="H186" s="549" t="str">
        <f>IF(INDEX('Weather Cases'!$G$10:$G$94,MATCH('Load Criteria'!X186,'Weather Cases'!$H$10:$H$94,0),1)="H","YES","")</f>
        <v>YES</v>
      </c>
      <c r="I186" s="557" t="s">
        <v>320</v>
      </c>
      <c r="J186" s="550">
        <v>50</v>
      </c>
      <c r="K186" s="508" t="s">
        <v>569</v>
      </c>
      <c r="L186" s="508" t="s">
        <v>24</v>
      </c>
      <c r="M186" s="508"/>
      <c r="N186" s="508"/>
      <c r="O186" s="508"/>
      <c r="P186" s="395"/>
      <c r="Q186" s="395"/>
      <c r="R186" s="395"/>
      <c r="S186" s="395"/>
      <c r="T186" s="395"/>
      <c r="U186" s="255" t="s">
        <v>574</v>
      </c>
      <c r="V186" s="551" t="s">
        <v>300</v>
      </c>
      <c r="W186" s="542" t="str">
        <f t="shared" si="51"/>
        <v>TI0050_A8+LA NA-</v>
      </c>
      <c r="X186" s="552" t="str">
        <f>I186&amp;TEXT(J186,"0000")&amp;"_"&amp;LEFT(Control!$D$23,1)&amp;LEFT(Control!$D$22,LEN(Control!$D$22)-2)</f>
        <v>TI0050_A8</v>
      </c>
      <c r="Y186" s="552" t="s">
        <v>433</v>
      </c>
      <c r="Z186" s="552" t="str">
        <f>U186</f>
        <v>NA-</v>
      </c>
      <c r="AA186" s="552"/>
      <c r="AB186" s="552">
        <v>1</v>
      </c>
      <c r="AC186" s="552">
        <v>1</v>
      </c>
      <c r="AD186" s="552">
        <v>1</v>
      </c>
      <c r="AE186" s="552">
        <v>1</v>
      </c>
      <c r="AF186" s="552">
        <v>1</v>
      </c>
      <c r="AG186" s="542" t="s">
        <v>561</v>
      </c>
      <c r="AH186" s="552">
        <v>0</v>
      </c>
      <c r="AI186" s="552">
        <v>0</v>
      </c>
      <c r="AJ186" s="552">
        <v>1</v>
      </c>
      <c r="AK186" s="552">
        <v>1</v>
      </c>
      <c r="AL186" s="552">
        <v>1</v>
      </c>
      <c r="AM186" s="552">
        <v>0</v>
      </c>
      <c r="AN186" s="552">
        <v>0</v>
      </c>
      <c r="AO186" s="552">
        <v>1</v>
      </c>
      <c r="AP186" s="552">
        <v>1</v>
      </c>
      <c r="AQ186" s="552">
        <v>1</v>
      </c>
      <c r="AR186" s="552">
        <v>1</v>
      </c>
      <c r="AS186" s="552">
        <v>1</v>
      </c>
      <c r="AT186" s="552">
        <v>1</v>
      </c>
      <c r="AU186" s="552">
        <v>1</v>
      </c>
      <c r="AV186" s="553" t="str">
        <f>IF(H186="YES","'"&amp;INDEX('Structure Groups'!$C$12:$C$14,MATCH('Load Criteria'!$B$5,'Structure Groups'!$B$12:$B$14,0),1)&amp;"'","'All'")</f>
        <v>'GL Max 800m'</v>
      </c>
      <c r="AW186" s="552" t="s">
        <v>562</v>
      </c>
      <c r="AX186" s="552"/>
      <c r="AY186" s="552" t="str">
        <f t="shared" si="166"/>
        <v>Yes</v>
      </c>
      <c r="AZ186" s="554" t="str">
        <f>IF($AY186="No","",IF($L186="A","Ahead Spans","Back Spans"))</f>
        <v>Ahead Spans</v>
      </c>
      <c r="BA186" s="554" t="str">
        <f>IF(AZ186="","","% Wire Ice")</f>
        <v>% Wire Ice</v>
      </c>
      <c r="BB186" s="552">
        <f>IF(AZ186="","",40)</f>
        <v>40</v>
      </c>
      <c r="BC186" s="554" t="str">
        <f>IF($AY186="No","",IF($L186="A","Back Spans","Ahead Spans"))</f>
        <v>Back Spans</v>
      </c>
      <c r="BD186" s="554" t="str">
        <f t="shared" ref="BD186:BD187" si="225">IF(BC186="","","% Wire Ice")</f>
        <v>% Wire Ice</v>
      </c>
      <c r="BE186" s="552">
        <f>IF(BB186="","",70)</f>
        <v>70</v>
      </c>
      <c r="BF186" s="554"/>
      <c r="BG186" s="554"/>
      <c r="BH186" s="554"/>
      <c r="BI186" s="554"/>
      <c r="BJ186" s="554"/>
      <c r="BK186" s="554"/>
      <c r="BL186" s="554"/>
      <c r="BM186" s="554"/>
      <c r="BN186" s="554"/>
      <c r="BO186" s="554"/>
      <c r="BP186" s="554"/>
      <c r="BQ186" s="554"/>
      <c r="BR186" s="554"/>
      <c r="BS186" s="554"/>
      <c r="BT186" s="554"/>
      <c r="BU186" s="554"/>
      <c r="BV186" s="554"/>
      <c r="BW186" s="554"/>
      <c r="BX186" s="554"/>
      <c r="BY186" s="554"/>
      <c r="BZ186" s="554"/>
      <c r="CA186" s="554"/>
      <c r="CB186" s="554"/>
      <c r="CC186" s="554"/>
      <c r="CD186" s="554"/>
      <c r="CE186" s="554"/>
      <c r="CF186" s="554"/>
      <c r="CG186" s="554"/>
      <c r="CH186" s="554"/>
      <c r="CI186" s="554"/>
      <c r="CJ186" s="554"/>
      <c r="CK186" s="554"/>
      <c r="CL186" s="554"/>
      <c r="CM186" s="554"/>
      <c r="CN186" s="554"/>
      <c r="CO186" s="554"/>
      <c r="CP186" s="554"/>
      <c r="CQ186" s="554"/>
      <c r="CR186" s="554"/>
      <c r="CS186" s="554"/>
      <c r="CT186" s="554"/>
      <c r="CU186" s="554"/>
      <c r="CV186" s="554"/>
      <c r="CW186" s="554"/>
      <c r="CX186" s="554"/>
      <c r="CY186" s="554"/>
      <c r="CZ186" s="554"/>
      <c r="DA186" s="554"/>
      <c r="DB186" s="554"/>
      <c r="DC186" s="554"/>
      <c r="DD186" s="554"/>
      <c r="DE186" s="534"/>
      <c r="DF186" s="534"/>
      <c r="DG186" s="534"/>
    </row>
    <row r="187" spans="1:111" ht="15" x14ac:dyDescent="0.25">
      <c r="A187" s="549">
        <f>IFERROR(IF(INDEX('Weather Cases'!$E$10:$E$94,MATCH('Load Criteria'!X187,'Weather Cases'!$H$10:$H$94,0),1)=1,1,"-"),"-")</f>
        <v>1</v>
      </c>
      <c r="B187" s="555" t="s">
        <v>558</v>
      </c>
      <c r="C187" s="556" t="str">
        <f>IF('Weather Cases'!$E$41=0,"","DC/SC")</f>
        <v>DC/SC</v>
      </c>
      <c r="D187" s="555" t="s">
        <v>567</v>
      </c>
      <c r="E187" s="556" t="s">
        <v>22</v>
      </c>
      <c r="F187" s="556" t="s">
        <v>22</v>
      </c>
      <c r="G187" s="556" t="str">
        <f>IFERROR(IF(MID('Load Criteria'!X187,FIND("_",'Load Criteria'!X187,1)+1,1)=LEFT(Control!$D$23,1),"YES","-"),"-")</f>
        <v>YES</v>
      </c>
      <c r="H187" s="549" t="str">
        <f>IF(INDEX('Weather Cases'!$G$10:$G$94,MATCH('Load Criteria'!X187,'Weather Cases'!$H$10:$H$94,0),1)="H","YES","")</f>
        <v>YES</v>
      </c>
      <c r="I187" s="557" t="s">
        <v>320</v>
      </c>
      <c r="J187" s="550">
        <v>50</v>
      </c>
      <c r="K187" s="508" t="s">
        <v>569</v>
      </c>
      <c r="L187" s="508" t="s">
        <v>40</v>
      </c>
      <c r="M187" s="508"/>
      <c r="N187" s="508"/>
      <c r="O187" s="508"/>
      <c r="P187" s="395"/>
      <c r="Q187" s="395"/>
      <c r="R187" s="395"/>
      <c r="S187" s="395"/>
      <c r="T187" s="395"/>
      <c r="U187" s="255" t="s">
        <v>574</v>
      </c>
      <c r="V187" s="551" t="s">
        <v>300</v>
      </c>
      <c r="W187" s="542" t="str">
        <f t="shared" si="51"/>
        <v>TI0050_A8+LB NA-</v>
      </c>
      <c r="X187" s="552" t="str">
        <f>I187&amp;TEXT(J187,"0000")&amp;"_"&amp;LEFT(Control!$D$23,1)&amp;LEFT(Control!$D$22,LEN(Control!$D$22)-2)</f>
        <v>TI0050_A8</v>
      </c>
      <c r="Y187" s="552" t="s">
        <v>433</v>
      </c>
      <c r="Z187" s="552" t="str">
        <f>U187</f>
        <v>NA-</v>
      </c>
      <c r="AA187" s="552"/>
      <c r="AB187" s="552">
        <v>1</v>
      </c>
      <c r="AC187" s="552">
        <v>1</v>
      </c>
      <c r="AD187" s="552">
        <v>1</v>
      </c>
      <c r="AE187" s="552">
        <v>1</v>
      </c>
      <c r="AF187" s="552">
        <v>1</v>
      </c>
      <c r="AG187" s="542" t="s">
        <v>561</v>
      </c>
      <c r="AH187" s="552">
        <v>0</v>
      </c>
      <c r="AI187" s="552">
        <v>0</v>
      </c>
      <c r="AJ187" s="552">
        <v>1</v>
      </c>
      <c r="AK187" s="552">
        <v>1</v>
      </c>
      <c r="AL187" s="552">
        <v>1</v>
      </c>
      <c r="AM187" s="552">
        <v>0</v>
      </c>
      <c r="AN187" s="552">
        <v>0</v>
      </c>
      <c r="AO187" s="552">
        <v>1</v>
      </c>
      <c r="AP187" s="552">
        <v>1</v>
      </c>
      <c r="AQ187" s="552">
        <v>1</v>
      </c>
      <c r="AR187" s="552">
        <v>1</v>
      </c>
      <c r="AS187" s="552">
        <v>1</v>
      </c>
      <c r="AT187" s="552">
        <v>1</v>
      </c>
      <c r="AU187" s="552">
        <v>1</v>
      </c>
      <c r="AV187" s="553" t="str">
        <f>IF(H187="YES","'"&amp;INDEX('Structure Groups'!$C$12:$C$14,MATCH('Load Criteria'!$B$5,'Structure Groups'!$B$12:$B$14,0),1)&amp;"'","'All'")</f>
        <v>'GL Max 800m'</v>
      </c>
      <c r="AW187" s="552" t="s">
        <v>562</v>
      </c>
      <c r="AX187" s="552"/>
      <c r="AY187" s="552" t="str">
        <f t="shared" si="166"/>
        <v>Yes</v>
      </c>
      <c r="AZ187" s="554" t="str">
        <f>IF($AY187="No","",IF($L187="A","Ahead Spans","Back Spans"))</f>
        <v>Back Spans</v>
      </c>
      <c r="BA187" s="554" t="str">
        <f>IF(AZ187="","","% Wire Ice")</f>
        <v>% Wire Ice</v>
      </c>
      <c r="BB187" s="552">
        <f>IF(AZ187="","",40)</f>
        <v>40</v>
      </c>
      <c r="BC187" s="554" t="str">
        <f>IF($AY187="No","",IF($L187="A","Back Spans","Ahead Spans"))</f>
        <v>Ahead Spans</v>
      </c>
      <c r="BD187" s="554" t="str">
        <f t="shared" si="225"/>
        <v>% Wire Ice</v>
      </c>
      <c r="BE187" s="552">
        <f>IF(BB187="","",70)</f>
        <v>70</v>
      </c>
      <c r="BF187" s="554"/>
      <c r="BG187" s="554"/>
      <c r="BH187" s="554"/>
      <c r="BI187" s="554"/>
      <c r="BJ187" s="554"/>
      <c r="BK187" s="554"/>
      <c r="BL187" s="554"/>
      <c r="BM187" s="554"/>
      <c r="BN187" s="554"/>
      <c r="BO187" s="554"/>
      <c r="BP187" s="554"/>
      <c r="BQ187" s="554"/>
      <c r="BR187" s="554"/>
      <c r="BS187" s="554"/>
      <c r="BT187" s="554"/>
      <c r="BU187" s="554"/>
      <c r="BV187" s="554"/>
      <c r="BW187" s="554"/>
      <c r="BX187" s="554"/>
      <c r="BY187" s="554"/>
      <c r="BZ187" s="554"/>
      <c r="CA187" s="554"/>
      <c r="CB187" s="554"/>
      <c r="CC187" s="554"/>
      <c r="CD187" s="554"/>
      <c r="CE187" s="554"/>
      <c r="CF187" s="554"/>
      <c r="CG187" s="554"/>
      <c r="CH187" s="554"/>
      <c r="CI187" s="554"/>
      <c r="CJ187" s="554"/>
      <c r="CK187" s="554"/>
      <c r="CL187" s="554"/>
      <c r="CM187" s="554"/>
      <c r="CN187" s="554"/>
      <c r="CO187" s="554"/>
      <c r="CP187" s="554"/>
      <c r="CQ187" s="554"/>
      <c r="CR187" s="554"/>
      <c r="CS187" s="554"/>
      <c r="CT187" s="554"/>
      <c r="CU187" s="554"/>
      <c r="CV187" s="554"/>
      <c r="CW187" s="554"/>
      <c r="CX187" s="554"/>
      <c r="CY187" s="554"/>
      <c r="CZ187" s="554"/>
      <c r="DA187" s="554"/>
      <c r="DB187" s="554"/>
      <c r="DC187" s="554"/>
      <c r="DD187" s="554"/>
      <c r="DE187" s="534"/>
      <c r="DF187" s="534"/>
      <c r="DG187" s="534"/>
    </row>
    <row r="188" spans="1:111" ht="15" hidden="1" x14ac:dyDescent="0.25">
      <c r="A188" s="549">
        <f>IFERROR(IF(INDEX('Weather Cases'!$E$10:$E$94,MATCH('Load Criteria'!X188,'Weather Cases'!$H$10:$H$94,0),1)=1,1,"-"),"-")</f>
        <v>1</v>
      </c>
      <c r="B188" s="555" t="s">
        <v>558</v>
      </c>
      <c r="C188" s="556" t="str">
        <f>IF('Weather Cases'!$E$41=0,"","SC")</f>
        <v>SC</v>
      </c>
      <c r="D188" s="555" t="s">
        <v>567</v>
      </c>
      <c r="E188" s="556" t="s">
        <v>22</v>
      </c>
      <c r="F188" s="556" t="s">
        <v>22</v>
      </c>
      <c r="G188" s="556" t="str">
        <f>IFERROR(IF(MID('Load Criteria'!X188,FIND("_",'Load Criteria'!X188,1)+1,1)=LEFT(Control!$D$23,1),"YES","-"),"-")</f>
        <v>YES</v>
      </c>
      <c r="H188" s="549" t="str">
        <f>IF(INDEX('Weather Cases'!$G$10:$G$94,MATCH('Load Criteria'!X188,'Weather Cases'!$H$10:$H$94,0),1)="H","YES","")</f>
        <v>YES</v>
      </c>
      <c r="I188" s="557" t="s">
        <v>320</v>
      </c>
      <c r="J188" s="550">
        <v>50</v>
      </c>
      <c r="K188" s="508" t="s">
        <v>571</v>
      </c>
      <c r="L188" s="508" t="s">
        <v>24</v>
      </c>
      <c r="M188" s="508">
        <v>1</v>
      </c>
      <c r="N188" s="508">
        <v>2</v>
      </c>
      <c r="O188" s="508"/>
      <c r="P188" s="395">
        <v>3</v>
      </c>
      <c r="Q188" s="395">
        <v>7</v>
      </c>
      <c r="R188" s="395">
        <v>8</v>
      </c>
      <c r="S188" s="395"/>
      <c r="T188" s="395"/>
      <c r="U188" s="255" t="s">
        <v>574</v>
      </c>
      <c r="V188" s="551" t="s">
        <v>300</v>
      </c>
      <c r="W188" s="542" t="str">
        <f t="shared" si="51"/>
        <v>TI0050_A8+TA12 NA-</v>
      </c>
      <c r="X188" s="552" t="str">
        <f>I188&amp;TEXT(J188,"0000")&amp;"_"&amp;LEFT(Control!$D$23,1)&amp;LEFT(Control!$D$22,LEN(Control!$D$22)-2)</f>
        <v>TI0050_A8</v>
      </c>
      <c r="Y188" s="552" t="s">
        <v>433</v>
      </c>
      <c r="Z188" s="552" t="str">
        <f>U188</f>
        <v>NA-</v>
      </c>
      <c r="AA188" s="552"/>
      <c r="AB188" s="552">
        <v>1</v>
      </c>
      <c r="AC188" s="552">
        <v>1</v>
      </c>
      <c r="AD188" s="552">
        <v>1</v>
      </c>
      <c r="AE188" s="552">
        <v>1</v>
      </c>
      <c r="AF188" s="552">
        <v>1</v>
      </c>
      <c r="AG188" s="542" t="s">
        <v>561</v>
      </c>
      <c r="AH188" s="552">
        <v>0</v>
      </c>
      <c r="AI188" s="552">
        <v>0</v>
      </c>
      <c r="AJ188" s="552">
        <v>1</v>
      </c>
      <c r="AK188" s="552">
        <v>1</v>
      </c>
      <c r="AL188" s="552">
        <v>1</v>
      </c>
      <c r="AM188" s="552">
        <v>0</v>
      </c>
      <c r="AN188" s="552">
        <v>0</v>
      </c>
      <c r="AO188" s="552">
        <v>1</v>
      </c>
      <c r="AP188" s="552">
        <v>1</v>
      </c>
      <c r="AQ188" s="552">
        <v>1</v>
      </c>
      <c r="AR188" s="552">
        <v>1</v>
      </c>
      <c r="AS188" s="552">
        <v>1</v>
      </c>
      <c r="AT188" s="552">
        <v>1</v>
      </c>
      <c r="AU188" s="552"/>
      <c r="AV188" s="553" t="str">
        <f>IF(H188="YES","'"&amp;INDEX('Structure Groups'!$C$12:$C$14,MATCH('Load Criteria'!$B$5,'Structure Groups'!$B$12:$B$14,0),1)&amp;"'","'All'")</f>
        <v>'GL Max 800m'</v>
      </c>
      <c r="AW188" s="552" t="s">
        <v>562</v>
      </c>
      <c r="AX188" s="552"/>
      <c r="AY188" s="552" t="str">
        <f t="shared" si="166"/>
        <v>Yes</v>
      </c>
      <c r="AZ188" s="389" t="str">
        <f>$M188&amp;":1:"&amp;IF($L188="A","Ahead","Back")</f>
        <v>1:1:Ahead</v>
      </c>
      <c r="BA188" s="554" t="s">
        <v>572</v>
      </c>
      <c r="BB188" s="391">
        <v>40</v>
      </c>
      <c r="BC188" s="579" t="str">
        <f t="shared" ref="BC188:BC195" si="226">$M188+10&amp;":1:"&amp;"Ahead"</f>
        <v>11:1:Ahead</v>
      </c>
      <c r="BD188" s="554" t="s">
        <v>572</v>
      </c>
      <c r="BE188" s="580">
        <f t="shared" ref="BE188" si="227">IF($L188="A",40,70)</f>
        <v>40</v>
      </c>
      <c r="BF188" s="389" t="str">
        <f>$M188&amp;":1:"&amp;IF($L188="A","Back","Ahead")</f>
        <v>1:1:Back</v>
      </c>
      <c r="BG188" s="554" t="str">
        <f>IF(BF188="","","% Wire Ice")</f>
        <v>% Wire Ice</v>
      </c>
      <c r="BH188" s="391">
        <v>70</v>
      </c>
      <c r="BI188" s="389" t="str">
        <f>$N188&amp;":1:"&amp;IF($L188="A","Ahead","Back")</f>
        <v>2:1:Ahead</v>
      </c>
      <c r="BJ188" s="554" t="s">
        <v>572</v>
      </c>
      <c r="BK188" s="391">
        <v>40</v>
      </c>
      <c r="BL188" s="579" t="str">
        <f t="shared" ref="BL188" si="228">$N188+10&amp;":1:"&amp;"Ahead"</f>
        <v>12:1:Ahead</v>
      </c>
      <c r="BM188" s="554" t="s">
        <v>572</v>
      </c>
      <c r="BN188" s="580">
        <f t="shared" ref="BN188" si="229">IF($L188="A",40,70)</f>
        <v>40</v>
      </c>
      <c r="BO188" s="389" t="str">
        <f>$N188&amp;":1:"&amp;IF($L188="A","Back","Ahead")</f>
        <v>2:1:Back</v>
      </c>
      <c r="BP188" s="554" t="str">
        <f>IF(BO188="","","% Wire Ice")</f>
        <v>% Wire Ice</v>
      </c>
      <c r="BQ188" s="391">
        <v>70</v>
      </c>
      <c r="BR188" s="389" t="str">
        <f>IF($O188="","",$O188&amp;":1:"&amp;IF($L188="A","Ahead","Back"))</f>
        <v/>
      </c>
      <c r="BS188" s="554" t="str">
        <f>IF($O188="","","% Wire Ice")</f>
        <v/>
      </c>
      <c r="BT188" s="391" t="str">
        <f>IF($O188="","",40)</f>
        <v/>
      </c>
      <c r="BU188" s="389" t="str">
        <f>IF($O188="","",$O188+10&amp;":1:"&amp;IF($L188="A","Ahead","Back"))</f>
        <v/>
      </c>
      <c r="BV188" s="554" t="str">
        <f>IF($O188="","","% Wire Ice")</f>
        <v/>
      </c>
      <c r="BW188" s="391" t="str">
        <f>IF($O188="","",40)</f>
        <v/>
      </c>
      <c r="BX188" s="389" t="str">
        <f>IF($O188="","",$O188&amp;":1:"&amp;IF($L188="A","Back","Ahead"))</f>
        <v/>
      </c>
      <c r="BY188" s="554" t="str">
        <f>IF($O188="","","% Wire Ice")</f>
        <v/>
      </c>
      <c r="BZ188" s="391" t="str">
        <f>IF($O188="","",70)</f>
        <v/>
      </c>
      <c r="CA188" s="389" t="str">
        <f>IF($P188="","",$P188&amp;":1:Back+Ahead")</f>
        <v>3:1:Back+Ahead</v>
      </c>
      <c r="CB188" s="554" t="str">
        <f>IF($P188="","","% Wire Ice")</f>
        <v>% Wire Ice</v>
      </c>
      <c r="CC188" s="391">
        <f>IF($P188="","",70)</f>
        <v>70</v>
      </c>
      <c r="CD188" s="389" t="str">
        <f>IF($P188="","",$P188+10&amp;":1:Ahead")</f>
        <v>13:1:Ahead</v>
      </c>
      <c r="CE188" s="554" t="str">
        <f>IF($P188="","","% Wire Ice")</f>
        <v>% Wire Ice</v>
      </c>
      <c r="CF188" s="391">
        <f>IF($P188="","",70)</f>
        <v>70</v>
      </c>
      <c r="CG188" s="389" t="str">
        <f>IF($Q188="","",$Q188&amp;":1:Back+Ahead")</f>
        <v>7:1:Back+Ahead</v>
      </c>
      <c r="CH188" s="554" t="str">
        <f>IF($Q188="","","% Wire Ice")</f>
        <v>% Wire Ice</v>
      </c>
      <c r="CI188" s="391">
        <f>IF($Q188="","",70)</f>
        <v>70</v>
      </c>
      <c r="CJ188" s="389" t="str">
        <f>IF($Q188="","",$Q188+10&amp;":1:Ahead")</f>
        <v>17:1:Ahead</v>
      </c>
      <c r="CK188" s="554" t="str">
        <f>IF($Q188="","","% Wire Ice")</f>
        <v>% Wire Ice</v>
      </c>
      <c r="CL188" s="391">
        <f>IF($Q188="","",70)</f>
        <v>70</v>
      </c>
      <c r="CM188" s="389" t="str">
        <f>IF($R188="","",$R188&amp;":1:Back+Ahead")</f>
        <v>8:1:Back+Ahead</v>
      </c>
      <c r="CN188" s="554" t="str">
        <f>IF($R188="","","% Wire Ice")</f>
        <v>% Wire Ice</v>
      </c>
      <c r="CO188" s="391">
        <f>IF($R188="","",70)</f>
        <v>70</v>
      </c>
      <c r="CP188" s="554" t="str">
        <f>IF($R188="","",$R188+10&amp;":1:Ahead")</f>
        <v>18:1:Ahead</v>
      </c>
      <c r="CQ188" s="554" t="str">
        <f>IF($R188="","","% Wire Ice")</f>
        <v>% Wire Ice</v>
      </c>
      <c r="CR188" s="554">
        <f>IF($R188="","",70)</f>
        <v>70</v>
      </c>
      <c r="CS188" s="554" t="str">
        <f>IF($S188="","",$S188&amp;":1:Back+Ahead")</f>
        <v/>
      </c>
      <c r="CT188" s="554" t="str">
        <f>IF($S188="","","% Wire Ice")</f>
        <v/>
      </c>
      <c r="CU188" s="554" t="str">
        <f>IF($S188="","",70)</f>
        <v/>
      </c>
      <c r="CV188" s="554" t="str">
        <f>IF($S188="","",$S188+10&amp;":1:Ahead")</f>
        <v/>
      </c>
      <c r="CW188" s="554" t="str">
        <f>IF($S188="","","% Wire Ice")</f>
        <v/>
      </c>
      <c r="CX188" s="554" t="str">
        <f>IF($S188="","",70)</f>
        <v/>
      </c>
      <c r="CY188" s="554" t="str">
        <f>IF($T188="","",$T188&amp;":1:Back+Ahead")</f>
        <v/>
      </c>
      <c r="CZ188" s="554" t="str">
        <f>IF($T188="","","% Wire Ice")</f>
        <v/>
      </c>
      <c r="DA188" s="554" t="str">
        <f>IF($T188="","",70)</f>
        <v/>
      </c>
      <c r="DB188" s="554" t="str">
        <f>IF($T188="","",$T188+10&amp;":1:Ahead")</f>
        <v/>
      </c>
      <c r="DC188" s="554" t="str">
        <f>IF($T188="","","% Wire Ice")</f>
        <v/>
      </c>
      <c r="DD188" s="554" t="str">
        <f>IF($T188="","",70)</f>
        <v/>
      </c>
      <c r="DE188" s="534"/>
      <c r="DF188" s="534"/>
      <c r="DG188" s="534"/>
    </row>
    <row r="189" spans="1:111" ht="15" hidden="1" x14ac:dyDescent="0.25">
      <c r="A189" s="549">
        <f>IFERROR(IF(INDEX('Weather Cases'!$E$10:$E$94,MATCH('Load Criteria'!X189,'Weather Cases'!$H$10:$H$94,0),1)=1,1,"-"),"-")</f>
        <v>1</v>
      </c>
      <c r="B189" s="555" t="s">
        <v>558</v>
      </c>
      <c r="C189" s="556" t="str">
        <f>IF('Weather Cases'!$E$41=0,"","SC")</f>
        <v>SC</v>
      </c>
      <c r="D189" s="555" t="s">
        <v>567</v>
      </c>
      <c r="E189" s="556" t="s">
        <v>22</v>
      </c>
      <c r="F189" s="556" t="s">
        <v>22</v>
      </c>
      <c r="G189" s="556" t="str">
        <f>IFERROR(IF(MID('Load Criteria'!X189,FIND("_",'Load Criteria'!X189,1)+1,1)=LEFT(Control!$D$23,1),"YES","-"),"-")</f>
        <v>YES</v>
      </c>
      <c r="H189" s="549" t="str">
        <f>IF(INDEX('Weather Cases'!$G$10:$G$94,MATCH('Load Criteria'!X189,'Weather Cases'!$H$10:$H$94,0),1)="H","YES","")</f>
        <v>YES</v>
      </c>
      <c r="I189" s="557" t="s">
        <v>320</v>
      </c>
      <c r="J189" s="550">
        <v>50</v>
      </c>
      <c r="K189" s="508" t="s">
        <v>571</v>
      </c>
      <c r="L189" s="508" t="s">
        <v>40</v>
      </c>
      <c r="M189" s="508">
        <v>1</v>
      </c>
      <c r="N189" s="508">
        <v>2</v>
      </c>
      <c r="O189" s="508"/>
      <c r="P189" s="395">
        <v>3</v>
      </c>
      <c r="Q189" s="395">
        <v>7</v>
      </c>
      <c r="R189" s="395">
        <v>8</v>
      </c>
      <c r="S189" s="395"/>
      <c r="T189" s="395"/>
      <c r="U189" s="255" t="s">
        <v>574</v>
      </c>
      <c r="V189" s="551" t="s">
        <v>300</v>
      </c>
      <c r="W189" s="542" t="str">
        <f t="shared" si="51"/>
        <v>TI0050_A8+TB12 NA-</v>
      </c>
      <c r="X189" s="552" t="str">
        <f>I189&amp;TEXT(J189,"0000")&amp;"_"&amp;LEFT(Control!$D$23,1)&amp;LEFT(Control!$D$22,LEN(Control!$D$22)-2)</f>
        <v>TI0050_A8</v>
      </c>
      <c r="Y189" s="552" t="s">
        <v>433</v>
      </c>
      <c r="Z189" s="552" t="str">
        <f>U189</f>
        <v>NA-</v>
      </c>
      <c r="AA189" s="552"/>
      <c r="AB189" s="552">
        <v>1</v>
      </c>
      <c r="AC189" s="552">
        <v>1</v>
      </c>
      <c r="AD189" s="552">
        <v>1</v>
      </c>
      <c r="AE189" s="552">
        <v>1</v>
      </c>
      <c r="AF189" s="552">
        <v>1</v>
      </c>
      <c r="AG189" s="542" t="s">
        <v>561</v>
      </c>
      <c r="AH189" s="552">
        <v>0</v>
      </c>
      <c r="AI189" s="552">
        <v>0</v>
      </c>
      <c r="AJ189" s="552">
        <v>1</v>
      </c>
      <c r="AK189" s="552">
        <v>1</v>
      </c>
      <c r="AL189" s="552">
        <v>1</v>
      </c>
      <c r="AM189" s="552">
        <v>0</v>
      </c>
      <c r="AN189" s="552">
        <v>0</v>
      </c>
      <c r="AO189" s="552">
        <v>1</v>
      </c>
      <c r="AP189" s="552">
        <v>1</v>
      </c>
      <c r="AQ189" s="552">
        <v>1</v>
      </c>
      <c r="AR189" s="552">
        <v>1</v>
      </c>
      <c r="AS189" s="552">
        <v>1</v>
      </c>
      <c r="AT189" s="552">
        <v>1</v>
      </c>
      <c r="AU189" s="552"/>
      <c r="AV189" s="553" t="str">
        <f>IF(H189="YES","'"&amp;INDEX('Structure Groups'!$C$12:$C$14,MATCH('Load Criteria'!$B$5,'Structure Groups'!$B$12:$B$14,0),1)&amp;"'","'All'")</f>
        <v>'GL Max 800m'</v>
      </c>
      <c r="AW189" s="552" t="s">
        <v>562</v>
      </c>
      <c r="AX189" s="552"/>
      <c r="AY189" s="552" t="str">
        <f t="shared" si="166"/>
        <v>Yes</v>
      </c>
      <c r="AZ189" s="389" t="str">
        <f t="shared" ref="AZ189:AZ195" si="230">$M189&amp;":1:"&amp;IF($L189="A","Ahead","Back")</f>
        <v>1:1:Back</v>
      </c>
      <c r="BA189" s="554" t="s">
        <v>572</v>
      </c>
      <c r="BB189" s="391">
        <v>40</v>
      </c>
      <c r="BC189" s="579" t="str">
        <f>$M189+10&amp;":1:"&amp;"Ahead"</f>
        <v>11:1:Ahead</v>
      </c>
      <c r="BD189" s="554" t="s">
        <v>572</v>
      </c>
      <c r="BE189" s="580">
        <f>IF($L189="A",40,70)</f>
        <v>70</v>
      </c>
      <c r="BF189" s="389" t="str">
        <f t="shared" ref="BF189:BF195" si="231">$M189&amp;":1:"&amp;IF($L189="A","Back","Ahead")</f>
        <v>1:1:Ahead</v>
      </c>
      <c r="BG189" s="554" t="str">
        <f t="shared" ref="BG189:BG195" si="232">IF(BF189="","","% Wire Ice")</f>
        <v>% Wire Ice</v>
      </c>
      <c r="BH189" s="391">
        <v>70</v>
      </c>
      <c r="BI189" s="389" t="str">
        <f t="shared" ref="BI189:BI195" si="233">$N189&amp;":1:"&amp;IF($L189="A","Ahead","Back")</f>
        <v>2:1:Back</v>
      </c>
      <c r="BJ189" s="554" t="s">
        <v>572</v>
      </c>
      <c r="BK189" s="391">
        <v>40</v>
      </c>
      <c r="BL189" s="579" t="str">
        <f>$N189+10&amp;":1:"&amp;"Ahead"</f>
        <v>12:1:Ahead</v>
      </c>
      <c r="BM189" s="554" t="s">
        <v>572</v>
      </c>
      <c r="BN189" s="580">
        <f>IF($L189="A",40,70)</f>
        <v>70</v>
      </c>
      <c r="BO189" s="389" t="str">
        <f t="shared" ref="BO189:BO195" si="234">$N189&amp;":1:"&amp;IF($L189="A","Back","Ahead")</f>
        <v>2:1:Ahead</v>
      </c>
      <c r="BP189" s="554" t="str">
        <f t="shared" ref="BP189:BP195" si="235">IF(BO189="","","% Wire Ice")</f>
        <v>% Wire Ice</v>
      </c>
      <c r="BQ189" s="391">
        <v>70</v>
      </c>
      <c r="BR189" s="389" t="str">
        <f t="shared" ref="BR189:BR195" si="236">IF($O189="","",$O189&amp;":1:"&amp;IF($L189="A","Ahead","Back"))</f>
        <v/>
      </c>
      <c r="BS189" s="554" t="str">
        <f t="shared" ref="BS189:BS195" si="237">IF($O189="","","% Wire Ice")</f>
        <v/>
      </c>
      <c r="BT189" s="391" t="str">
        <f t="shared" ref="BT189:BT195" si="238">IF($O189="","",40)</f>
        <v/>
      </c>
      <c r="BU189" s="389" t="str">
        <f t="shared" ref="BU189:BU191" si="239">IF($O189="","",$O189+10&amp;":1:"&amp;IF($L189="A","Ahead","Back"))</f>
        <v/>
      </c>
      <c r="BV189" s="554" t="str">
        <f t="shared" ref="BV189:BV195" si="240">IF($O189="","","% Wire Ice")</f>
        <v/>
      </c>
      <c r="BW189" s="391" t="str">
        <f t="shared" ref="BW189:BW191" si="241">IF($O189="","",40)</f>
        <v/>
      </c>
      <c r="BX189" s="389" t="str">
        <f t="shared" ref="BX189:BX195" si="242">IF($O189="","",$O189&amp;":1:"&amp;IF($L189="A","Back","Ahead"))</f>
        <v/>
      </c>
      <c r="BY189" s="554" t="str">
        <f t="shared" ref="BY189:BY195" si="243">IF($O189="","","% Wire Ice")</f>
        <v/>
      </c>
      <c r="BZ189" s="391" t="str">
        <f t="shared" ref="BZ189:BZ195" si="244">IF($O189="","",70)</f>
        <v/>
      </c>
      <c r="CA189" s="389" t="str">
        <f t="shared" ref="CA189:CA195" si="245">IF($P189="","",$P189&amp;":1:Back+Ahead")</f>
        <v>3:1:Back+Ahead</v>
      </c>
      <c r="CB189" s="554" t="str">
        <f t="shared" ref="CB189:CB195" si="246">IF($P189="","","% Wire Ice")</f>
        <v>% Wire Ice</v>
      </c>
      <c r="CC189" s="391">
        <f t="shared" ref="CC189:CC195" si="247">IF($P189="","",70)</f>
        <v>70</v>
      </c>
      <c r="CD189" s="389" t="str">
        <f t="shared" ref="CD189:CD195" si="248">IF($P189="","",$P189+10&amp;":1:Ahead")</f>
        <v>13:1:Ahead</v>
      </c>
      <c r="CE189" s="554" t="str">
        <f t="shared" ref="CE189:CE195" si="249">IF($P189="","","% Wire Ice")</f>
        <v>% Wire Ice</v>
      </c>
      <c r="CF189" s="391">
        <f t="shared" ref="CF189:CF195" si="250">IF($P189="","",70)</f>
        <v>70</v>
      </c>
      <c r="CG189" s="389" t="str">
        <f t="shared" ref="CG189:CG195" si="251">IF($Q189="","",$Q189&amp;":1:Back+Ahead")</f>
        <v>7:1:Back+Ahead</v>
      </c>
      <c r="CH189" s="554" t="str">
        <f t="shared" ref="CH189:CH195" si="252">IF($Q189="","","% Wire Ice")</f>
        <v>% Wire Ice</v>
      </c>
      <c r="CI189" s="391">
        <f t="shared" ref="CI189:CI195" si="253">IF($Q189="","",70)</f>
        <v>70</v>
      </c>
      <c r="CJ189" s="389" t="str">
        <f t="shared" ref="CJ189:CJ195" si="254">IF($Q189="","",$Q189+10&amp;":1:Ahead")</f>
        <v>17:1:Ahead</v>
      </c>
      <c r="CK189" s="554" t="str">
        <f t="shared" ref="CK189:CK195" si="255">IF($Q189="","","% Wire Ice")</f>
        <v>% Wire Ice</v>
      </c>
      <c r="CL189" s="391">
        <f t="shared" ref="CL189:CL195" si="256">IF($Q189="","",70)</f>
        <v>70</v>
      </c>
      <c r="CM189" s="389" t="str">
        <f t="shared" ref="CM189:CM195" si="257">IF($R189="","",$R189&amp;":1:Back+Ahead")</f>
        <v>8:1:Back+Ahead</v>
      </c>
      <c r="CN189" s="554" t="str">
        <f t="shared" ref="CN189:CN195" si="258">IF($R189="","","% Wire Ice")</f>
        <v>% Wire Ice</v>
      </c>
      <c r="CO189" s="391">
        <f t="shared" ref="CO189:CO195" si="259">IF($R189="","",70)</f>
        <v>70</v>
      </c>
      <c r="CP189" s="554" t="str">
        <f t="shared" ref="CP189:CP195" si="260">IF($R189="","",$R189+10&amp;":1:Ahead")</f>
        <v>18:1:Ahead</v>
      </c>
      <c r="CQ189" s="554" t="str">
        <f t="shared" ref="CQ189:CQ195" si="261">IF($R189="","","% Wire Ice")</f>
        <v>% Wire Ice</v>
      </c>
      <c r="CR189" s="554">
        <f t="shared" ref="CR189:CR195" si="262">IF($R189="","",70)</f>
        <v>70</v>
      </c>
      <c r="CS189" s="554" t="str">
        <f t="shared" ref="CS189:CS195" si="263">IF($S189="","",$S189&amp;":1:Back+Ahead")</f>
        <v/>
      </c>
      <c r="CT189" s="554" t="str">
        <f t="shared" ref="CT189:CT195" si="264">IF($S189="","","% Wire Ice")</f>
        <v/>
      </c>
      <c r="CU189" s="554" t="str">
        <f t="shared" ref="CU189:CU195" si="265">IF($S189="","",70)</f>
        <v/>
      </c>
      <c r="CV189" s="554" t="str">
        <f t="shared" ref="CV189:CV195" si="266">IF($S189="","",$S189+10&amp;":1:Ahead")</f>
        <v/>
      </c>
      <c r="CW189" s="554" t="str">
        <f t="shared" ref="CW189:CW195" si="267">IF($S189="","","% Wire Ice")</f>
        <v/>
      </c>
      <c r="CX189" s="554" t="str">
        <f t="shared" ref="CX189:CX195" si="268">IF($S189="","",70)</f>
        <v/>
      </c>
      <c r="CY189" s="554" t="str">
        <f t="shared" ref="CY189:CY195" si="269">IF($T189="","",$T189&amp;":1:Back+Ahead")</f>
        <v/>
      </c>
      <c r="CZ189" s="554" t="str">
        <f t="shared" ref="CZ189:CZ195" si="270">IF($T189="","","% Wire Ice")</f>
        <v/>
      </c>
      <c r="DA189" s="554" t="str">
        <f t="shared" ref="DA189:DA195" si="271">IF($T189="","",70)</f>
        <v/>
      </c>
      <c r="DB189" s="554" t="str">
        <f t="shared" ref="DB189:DB195" si="272">IF($T189="","",$T189+10&amp;":1:Ahead")</f>
        <v/>
      </c>
      <c r="DC189" s="554" t="str">
        <f t="shared" ref="DC189:DC195" si="273">IF($T189="","","% Wire Ice")</f>
        <v/>
      </c>
      <c r="DD189" s="554" t="str">
        <f t="shared" ref="DD189:DD195" si="274">IF($T189="","",70)</f>
        <v/>
      </c>
      <c r="DE189" s="534"/>
      <c r="DF189" s="534"/>
      <c r="DG189" s="534"/>
    </row>
    <row r="190" spans="1:111" ht="15" hidden="1" x14ac:dyDescent="0.25">
      <c r="A190" s="549">
        <f>IFERROR(IF(INDEX('Weather Cases'!$E$10:$E$94,MATCH('Load Criteria'!X190,'Weather Cases'!$H$10:$H$94,0),1)=1,1,"-"),"-")</f>
        <v>1</v>
      </c>
      <c r="B190" s="555" t="s">
        <v>558</v>
      </c>
      <c r="C190" s="556" t="str">
        <f>IF('Weather Cases'!$E$41=0,"","SC")</f>
        <v>SC</v>
      </c>
      <c r="D190" s="555" t="s">
        <v>567</v>
      </c>
      <c r="E190" s="556" t="s">
        <v>22</v>
      </c>
      <c r="F190" s="556" t="s">
        <v>22</v>
      </c>
      <c r="G190" s="556" t="str">
        <f>IFERROR(IF(MID('Load Criteria'!X190,FIND("_",'Load Criteria'!X190,1)+1,1)=LEFT(Control!$D$23,1),"YES","-"),"-")</f>
        <v>YES</v>
      </c>
      <c r="H190" s="549" t="str">
        <f>IF(INDEX('Weather Cases'!$G$10:$G$94,MATCH('Load Criteria'!X190,'Weather Cases'!$H$10:$H$94,0),1)="H","YES","")</f>
        <v>YES</v>
      </c>
      <c r="I190" s="557" t="s">
        <v>320</v>
      </c>
      <c r="J190" s="550">
        <v>50</v>
      </c>
      <c r="K190" s="508" t="s">
        <v>571</v>
      </c>
      <c r="L190" s="508" t="s">
        <v>24</v>
      </c>
      <c r="M190" s="508">
        <v>2</v>
      </c>
      <c r="N190" s="508">
        <v>3</v>
      </c>
      <c r="O190" s="508"/>
      <c r="P190" s="395">
        <v>1</v>
      </c>
      <c r="Q190" s="395">
        <v>7</v>
      </c>
      <c r="R190" s="395">
        <v>8</v>
      </c>
      <c r="S190" s="395"/>
      <c r="T190" s="395"/>
      <c r="U190" s="255" t="s">
        <v>574</v>
      </c>
      <c r="V190" s="551" t="s">
        <v>300</v>
      </c>
      <c r="W190" s="542" t="str">
        <f t="shared" si="51"/>
        <v>TI0050_A8+TA23 NA-</v>
      </c>
      <c r="X190" s="552" t="str">
        <f>I190&amp;TEXT(J190,"0000")&amp;"_"&amp;LEFT(Control!$D$23,1)&amp;LEFT(Control!$D$22,LEN(Control!$D$22)-2)</f>
        <v>TI0050_A8</v>
      </c>
      <c r="Y190" s="552" t="s">
        <v>433</v>
      </c>
      <c r="Z190" s="552" t="str">
        <f t="shared" ref="Z190:Z195" si="275">U190</f>
        <v>NA-</v>
      </c>
      <c r="AA190" s="552"/>
      <c r="AB190" s="552">
        <v>1</v>
      </c>
      <c r="AC190" s="552">
        <v>1</v>
      </c>
      <c r="AD190" s="552">
        <v>1</v>
      </c>
      <c r="AE190" s="552">
        <v>1</v>
      </c>
      <c r="AF190" s="552">
        <v>1</v>
      </c>
      <c r="AG190" s="542" t="s">
        <v>561</v>
      </c>
      <c r="AH190" s="552">
        <v>0</v>
      </c>
      <c r="AI190" s="552">
        <v>0</v>
      </c>
      <c r="AJ190" s="552">
        <v>1</v>
      </c>
      <c r="AK190" s="552">
        <v>1</v>
      </c>
      <c r="AL190" s="552">
        <v>1</v>
      </c>
      <c r="AM190" s="552">
        <v>0</v>
      </c>
      <c r="AN190" s="552">
        <v>0</v>
      </c>
      <c r="AO190" s="552">
        <v>1</v>
      </c>
      <c r="AP190" s="552">
        <v>1</v>
      </c>
      <c r="AQ190" s="552">
        <v>1</v>
      </c>
      <c r="AR190" s="552">
        <v>1</v>
      </c>
      <c r="AS190" s="552">
        <v>1</v>
      </c>
      <c r="AT190" s="552">
        <v>1</v>
      </c>
      <c r="AU190" s="552"/>
      <c r="AV190" s="553" t="str">
        <f>IF(H190="YES","'"&amp;INDEX('Structure Groups'!$C$12:$C$14,MATCH('Load Criteria'!$B$5,'Structure Groups'!$B$12:$B$14,0),1)&amp;"'","'All'")</f>
        <v>'GL Max 800m'</v>
      </c>
      <c r="AW190" s="552" t="s">
        <v>562</v>
      </c>
      <c r="AX190" s="552"/>
      <c r="AY190" s="552" t="str">
        <f t="shared" si="166"/>
        <v>Yes</v>
      </c>
      <c r="AZ190" s="389" t="str">
        <f t="shared" si="230"/>
        <v>2:1:Ahead</v>
      </c>
      <c r="BA190" s="554" t="s">
        <v>572</v>
      </c>
      <c r="BB190" s="391">
        <v>40</v>
      </c>
      <c r="BC190" s="579" t="str">
        <f t="shared" ref="BC190:BC191" si="276">$M190+10&amp;":1:"&amp;"Ahead"</f>
        <v>12:1:Ahead</v>
      </c>
      <c r="BD190" s="554" t="s">
        <v>572</v>
      </c>
      <c r="BE190" s="580">
        <f t="shared" ref="BE190:BE195" si="277">IF($L190="A",40,70)</f>
        <v>40</v>
      </c>
      <c r="BF190" s="389" t="str">
        <f t="shared" si="231"/>
        <v>2:1:Back</v>
      </c>
      <c r="BG190" s="554" t="str">
        <f t="shared" si="232"/>
        <v>% Wire Ice</v>
      </c>
      <c r="BH190" s="391">
        <v>70</v>
      </c>
      <c r="BI190" s="389" t="str">
        <f t="shared" si="233"/>
        <v>3:1:Ahead</v>
      </c>
      <c r="BJ190" s="554" t="s">
        <v>572</v>
      </c>
      <c r="BK190" s="391">
        <v>40</v>
      </c>
      <c r="BL190" s="579" t="str">
        <f t="shared" ref="BL190:BL191" si="278">$N190+10&amp;":1:"&amp;"Ahead"</f>
        <v>13:1:Ahead</v>
      </c>
      <c r="BM190" s="554" t="s">
        <v>572</v>
      </c>
      <c r="BN190" s="580">
        <f t="shared" ref="BN190:BN195" si="279">IF($L190="A",40,70)</f>
        <v>40</v>
      </c>
      <c r="BO190" s="389" t="str">
        <f t="shared" si="234"/>
        <v>3:1:Back</v>
      </c>
      <c r="BP190" s="554" t="str">
        <f t="shared" si="235"/>
        <v>% Wire Ice</v>
      </c>
      <c r="BQ190" s="391">
        <v>70</v>
      </c>
      <c r="BR190" s="389" t="str">
        <f t="shared" si="236"/>
        <v/>
      </c>
      <c r="BS190" s="554" t="str">
        <f t="shared" si="237"/>
        <v/>
      </c>
      <c r="BT190" s="391" t="str">
        <f t="shared" si="238"/>
        <v/>
      </c>
      <c r="BU190" s="389" t="str">
        <f t="shared" si="239"/>
        <v/>
      </c>
      <c r="BV190" s="554" t="str">
        <f t="shared" si="240"/>
        <v/>
      </c>
      <c r="BW190" s="391" t="str">
        <f t="shared" si="241"/>
        <v/>
      </c>
      <c r="BX190" s="389" t="str">
        <f t="shared" si="242"/>
        <v/>
      </c>
      <c r="BY190" s="554" t="str">
        <f t="shared" si="243"/>
        <v/>
      </c>
      <c r="BZ190" s="391" t="str">
        <f t="shared" si="244"/>
        <v/>
      </c>
      <c r="CA190" s="389" t="str">
        <f t="shared" si="245"/>
        <v>1:1:Back+Ahead</v>
      </c>
      <c r="CB190" s="554" t="str">
        <f t="shared" si="246"/>
        <v>% Wire Ice</v>
      </c>
      <c r="CC190" s="391">
        <f t="shared" si="247"/>
        <v>70</v>
      </c>
      <c r="CD190" s="389" t="str">
        <f t="shared" si="248"/>
        <v>11:1:Ahead</v>
      </c>
      <c r="CE190" s="554" t="str">
        <f t="shared" si="249"/>
        <v>% Wire Ice</v>
      </c>
      <c r="CF190" s="391">
        <f t="shared" si="250"/>
        <v>70</v>
      </c>
      <c r="CG190" s="389" t="str">
        <f t="shared" si="251"/>
        <v>7:1:Back+Ahead</v>
      </c>
      <c r="CH190" s="554" t="str">
        <f t="shared" si="252"/>
        <v>% Wire Ice</v>
      </c>
      <c r="CI190" s="391">
        <f t="shared" si="253"/>
        <v>70</v>
      </c>
      <c r="CJ190" s="389" t="str">
        <f t="shared" si="254"/>
        <v>17:1:Ahead</v>
      </c>
      <c r="CK190" s="554" t="str">
        <f t="shared" si="255"/>
        <v>% Wire Ice</v>
      </c>
      <c r="CL190" s="391">
        <f t="shared" si="256"/>
        <v>70</v>
      </c>
      <c r="CM190" s="389" t="str">
        <f t="shared" si="257"/>
        <v>8:1:Back+Ahead</v>
      </c>
      <c r="CN190" s="554" t="str">
        <f t="shared" si="258"/>
        <v>% Wire Ice</v>
      </c>
      <c r="CO190" s="391">
        <f t="shared" si="259"/>
        <v>70</v>
      </c>
      <c r="CP190" s="554" t="str">
        <f t="shared" si="260"/>
        <v>18:1:Ahead</v>
      </c>
      <c r="CQ190" s="554" t="str">
        <f t="shared" si="261"/>
        <v>% Wire Ice</v>
      </c>
      <c r="CR190" s="554">
        <f t="shared" si="262"/>
        <v>70</v>
      </c>
      <c r="CS190" s="554" t="str">
        <f t="shared" si="263"/>
        <v/>
      </c>
      <c r="CT190" s="554" t="str">
        <f t="shared" si="264"/>
        <v/>
      </c>
      <c r="CU190" s="554" t="str">
        <f t="shared" si="265"/>
        <v/>
      </c>
      <c r="CV190" s="554" t="str">
        <f t="shared" si="266"/>
        <v/>
      </c>
      <c r="CW190" s="554" t="str">
        <f t="shared" si="267"/>
        <v/>
      </c>
      <c r="CX190" s="554" t="str">
        <f t="shared" si="268"/>
        <v/>
      </c>
      <c r="CY190" s="554" t="str">
        <f t="shared" si="269"/>
        <v/>
      </c>
      <c r="CZ190" s="554" t="str">
        <f t="shared" si="270"/>
        <v/>
      </c>
      <c r="DA190" s="554" t="str">
        <f t="shared" si="271"/>
        <v/>
      </c>
      <c r="DB190" s="554" t="str">
        <f t="shared" si="272"/>
        <v/>
      </c>
      <c r="DC190" s="554" t="str">
        <f t="shared" si="273"/>
        <v/>
      </c>
      <c r="DD190" s="554" t="str">
        <f t="shared" si="274"/>
        <v/>
      </c>
      <c r="DE190" s="534"/>
      <c r="DF190" s="534"/>
      <c r="DG190" s="534"/>
    </row>
    <row r="191" spans="1:111" ht="15" hidden="1" x14ac:dyDescent="0.25">
      <c r="A191" s="549">
        <f>IFERROR(IF(INDEX('Weather Cases'!$E$10:$E$94,MATCH('Load Criteria'!X191,'Weather Cases'!$H$10:$H$94,0),1)=1,1,"-"),"-")</f>
        <v>1</v>
      </c>
      <c r="B191" s="555" t="s">
        <v>558</v>
      </c>
      <c r="C191" s="556" t="str">
        <f>IF('Weather Cases'!$E$41=0,"","SC")</f>
        <v>SC</v>
      </c>
      <c r="D191" s="555" t="s">
        <v>567</v>
      </c>
      <c r="E191" s="556" t="s">
        <v>22</v>
      </c>
      <c r="F191" s="556" t="s">
        <v>22</v>
      </c>
      <c r="G191" s="556" t="str">
        <f>IFERROR(IF(MID('Load Criteria'!X191,FIND("_",'Load Criteria'!X191,1)+1,1)=LEFT(Control!$D$23,1),"YES","-"),"-")</f>
        <v>YES</v>
      </c>
      <c r="H191" s="549" t="str">
        <f>IF(INDEX('Weather Cases'!$G$10:$G$94,MATCH('Load Criteria'!X191,'Weather Cases'!$H$10:$H$94,0),1)="H","YES","")</f>
        <v>YES</v>
      </c>
      <c r="I191" s="557" t="s">
        <v>320</v>
      </c>
      <c r="J191" s="550">
        <v>50</v>
      </c>
      <c r="K191" s="508" t="s">
        <v>571</v>
      </c>
      <c r="L191" s="508" t="s">
        <v>40</v>
      </c>
      <c r="M191" s="508">
        <v>2</v>
      </c>
      <c r="N191" s="508">
        <v>3</v>
      </c>
      <c r="O191" s="508"/>
      <c r="P191" s="395">
        <v>1</v>
      </c>
      <c r="Q191" s="395">
        <v>7</v>
      </c>
      <c r="R191" s="395">
        <v>8</v>
      </c>
      <c r="S191" s="395"/>
      <c r="T191" s="395"/>
      <c r="U191" s="255" t="s">
        <v>574</v>
      </c>
      <c r="V191" s="551" t="s">
        <v>300</v>
      </c>
      <c r="W191" s="542" t="str">
        <f t="shared" si="51"/>
        <v>TI0050_A8+TB23 NA-</v>
      </c>
      <c r="X191" s="552" t="str">
        <f>I191&amp;TEXT(J191,"0000")&amp;"_"&amp;LEFT(Control!$D$23,1)&amp;LEFT(Control!$D$22,LEN(Control!$D$22)-2)</f>
        <v>TI0050_A8</v>
      </c>
      <c r="Y191" s="552" t="s">
        <v>433</v>
      </c>
      <c r="Z191" s="552" t="str">
        <f t="shared" si="275"/>
        <v>NA-</v>
      </c>
      <c r="AA191" s="552"/>
      <c r="AB191" s="552">
        <v>1</v>
      </c>
      <c r="AC191" s="552">
        <v>1</v>
      </c>
      <c r="AD191" s="552">
        <v>1</v>
      </c>
      <c r="AE191" s="552">
        <v>1</v>
      </c>
      <c r="AF191" s="552">
        <v>1</v>
      </c>
      <c r="AG191" s="542" t="s">
        <v>561</v>
      </c>
      <c r="AH191" s="552">
        <v>0</v>
      </c>
      <c r="AI191" s="552">
        <v>0</v>
      </c>
      <c r="AJ191" s="552">
        <v>1</v>
      </c>
      <c r="AK191" s="552">
        <v>1</v>
      </c>
      <c r="AL191" s="552">
        <v>1</v>
      </c>
      <c r="AM191" s="552">
        <v>0</v>
      </c>
      <c r="AN191" s="552">
        <v>0</v>
      </c>
      <c r="AO191" s="552">
        <v>1</v>
      </c>
      <c r="AP191" s="552">
        <v>1</v>
      </c>
      <c r="AQ191" s="552">
        <v>1</v>
      </c>
      <c r="AR191" s="552">
        <v>1</v>
      </c>
      <c r="AS191" s="552">
        <v>1</v>
      </c>
      <c r="AT191" s="552">
        <v>1</v>
      </c>
      <c r="AU191" s="552"/>
      <c r="AV191" s="553" t="str">
        <f>IF(H191="YES","'"&amp;INDEX('Structure Groups'!$C$12:$C$14,MATCH('Load Criteria'!$B$5,'Structure Groups'!$B$12:$B$14,0),1)&amp;"'","'All'")</f>
        <v>'GL Max 800m'</v>
      </c>
      <c r="AW191" s="552" t="s">
        <v>562</v>
      </c>
      <c r="AX191" s="552"/>
      <c r="AY191" s="552" t="str">
        <f t="shared" si="166"/>
        <v>Yes</v>
      </c>
      <c r="AZ191" s="389" t="str">
        <f t="shared" si="230"/>
        <v>2:1:Back</v>
      </c>
      <c r="BA191" s="554" t="s">
        <v>572</v>
      </c>
      <c r="BB191" s="391">
        <v>40</v>
      </c>
      <c r="BC191" s="579" t="str">
        <f t="shared" si="276"/>
        <v>12:1:Ahead</v>
      </c>
      <c r="BD191" s="554" t="s">
        <v>572</v>
      </c>
      <c r="BE191" s="580">
        <f t="shared" si="277"/>
        <v>70</v>
      </c>
      <c r="BF191" s="389" t="str">
        <f t="shared" si="231"/>
        <v>2:1:Ahead</v>
      </c>
      <c r="BG191" s="554" t="str">
        <f t="shared" si="232"/>
        <v>% Wire Ice</v>
      </c>
      <c r="BH191" s="391">
        <v>70</v>
      </c>
      <c r="BI191" s="389" t="str">
        <f t="shared" si="233"/>
        <v>3:1:Back</v>
      </c>
      <c r="BJ191" s="554" t="s">
        <v>572</v>
      </c>
      <c r="BK191" s="391">
        <v>40</v>
      </c>
      <c r="BL191" s="579" t="str">
        <f t="shared" si="278"/>
        <v>13:1:Ahead</v>
      </c>
      <c r="BM191" s="554" t="s">
        <v>572</v>
      </c>
      <c r="BN191" s="580">
        <f t="shared" si="279"/>
        <v>70</v>
      </c>
      <c r="BO191" s="389" t="str">
        <f t="shared" si="234"/>
        <v>3:1:Ahead</v>
      </c>
      <c r="BP191" s="554" t="str">
        <f t="shared" si="235"/>
        <v>% Wire Ice</v>
      </c>
      <c r="BQ191" s="391">
        <v>70</v>
      </c>
      <c r="BR191" s="389" t="str">
        <f t="shared" si="236"/>
        <v/>
      </c>
      <c r="BS191" s="554" t="str">
        <f t="shared" si="237"/>
        <v/>
      </c>
      <c r="BT191" s="391" t="str">
        <f t="shared" si="238"/>
        <v/>
      </c>
      <c r="BU191" s="389" t="str">
        <f t="shared" si="239"/>
        <v/>
      </c>
      <c r="BV191" s="554" t="str">
        <f t="shared" si="240"/>
        <v/>
      </c>
      <c r="BW191" s="391" t="str">
        <f t="shared" si="241"/>
        <v/>
      </c>
      <c r="BX191" s="389" t="str">
        <f t="shared" si="242"/>
        <v/>
      </c>
      <c r="BY191" s="554" t="str">
        <f t="shared" si="243"/>
        <v/>
      </c>
      <c r="BZ191" s="391" t="str">
        <f t="shared" si="244"/>
        <v/>
      </c>
      <c r="CA191" s="389" t="str">
        <f t="shared" si="245"/>
        <v>1:1:Back+Ahead</v>
      </c>
      <c r="CB191" s="554" t="str">
        <f t="shared" si="246"/>
        <v>% Wire Ice</v>
      </c>
      <c r="CC191" s="391">
        <f t="shared" si="247"/>
        <v>70</v>
      </c>
      <c r="CD191" s="389" t="str">
        <f t="shared" si="248"/>
        <v>11:1:Ahead</v>
      </c>
      <c r="CE191" s="554" t="str">
        <f t="shared" si="249"/>
        <v>% Wire Ice</v>
      </c>
      <c r="CF191" s="391">
        <f t="shared" si="250"/>
        <v>70</v>
      </c>
      <c r="CG191" s="389" t="str">
        <f t="shared" si="251"/>
        <v>7:1:Back+Ahead</v>
      </c>
      <c r="CH191" s="554" t="str">
        <f t="shared" si="252"/>
        <v>% Wire Ice</v>
      </c>
      <c r="CI191" s="391">
        <f t="shared" si="253"/>
        <v>70</v>
      </c>
      <c r="CJ191" s="389" t="str">
        <f t="shared" si="254"/>
        <v>17:1:Ahead</v>
      </c>
      <c r="CK191" s="554" t="str">
        <f t="shared" si="255"/>
        <v>% Wire Ice</v>
      </c>
      <c r="CL191" s="391">
        <f t="shared" si="256"/>
        <v>70</v>
      </c>
      <c r="CM191" s="389" t="str">
        <f t="shared" si="257"/>
        <v>8:1:Back+Ahead</v>
      </c>
      <c r="CN191" s="554" t="str">
        <f t="shared" si="258"/>
        <v>% Wire Ice</v>
      </c>
      <c r="CO191" s="391">
        <f t="shared" si="259"/>
        <v>70</v>
      </c>
      <c r="CP191" s="554" t="str">
        <f t="shared" si="260"/>
        <v>18:1:Ahead</v>
      </c>
      <c r="CQ191" s="554" t="str">
        <f t="shared" si="261"/>
        <v>% Wire Ice</v>
      </c>
      <c r="CR191" s="554">
        <f t="shared" si="262"/>
        <v>70</v>
      </c>
      <c r="CS191" s="554" t="str">
        <f t="shared" si="263"/>
        <v/>
      </c>
      <c r="CT191" s="554" t="str">
        <f t="shared" si="264"/>
        <v/>
      </c>
      <c r="CU191" s="554" t="str">
        <f t="shared" si="265"/>
        <v/>
      </c>
      <c r="CV191" s="554" t="str">
        <f t="shared" si="266"/>
        <v/>
      </c>
      <c r="CW191" s="554" t="str">
        <f t="shared" si="267"/>
        <v/>
      </c>
      <c r="CX191" s="554" t="str">
        <f t="shared" si="268"/>
        <v/>
      </c>
      <c r="CY191" s="554" t="str">
        <f t="shared" si="269"/>
        <v/>
      </c>
      <c r="CZ191" s="554" t="str">
        <f t="shared" si="270"/>
        <v/>
      </c>
      <c r="DA191" s="554" t="str">
        <f t="shared" si="271"/>
        <v/>
      </c>
      <c r="DB191" s="554" t="str">
        <f t="shared" si="272"/>
        <v/>
      </c>
      <c r="DC191" s="554" t="str">
        <f t="shared" si="273"/>
        <v/>
      </c>
      <c r="DD191" s="554" t="str">
        <f t="shared" si="274"/>
        <v/>
      </c>
      <c r="DE191" s="534"/>
      <c r="DF191" s="534"/>
      <c r="DG191" s="534"/>
    </row>
    <row r="192" spans="1:111" ht="15" x14ac:dyDescent="0.25">
      <c r="A192" s="549">
        <f>IFERROR(IF(INDEX('Weather Cases'!$E$10:$E$94,MATCH('Load Criteria'!X192,'Weather Cases'!$H$10:$H$94,0),1)=1,1,"-"),"-")</f>
        <v>1</v>
      </c>
      <c r="B192" s="555" t="s">
        <v>558</v>
      </c>
      <c r="C192" s="556" t="str">
        <f>IF('Weather Cases'!$E$41=0,"","DC")</f>
        <v>DC</v>
      </c>
      <c r="D192" s="555" t="s">
        <v>567</v>
      </c>
      <c r="E192" s="556" t="s">
        <v>22</v>
      </c>
      <c r="F192" s="556" t="s">
        <v>22</v>
      </c>
      <c r="G192" s="556" t="str">
        <f>IFERROR(IF(MID('Load Criteria'!X192,FIND("_",'Load Criteria'!X192,1)+1,1)=LEFT(Control!$D$23,1),"YES","-"),"-")</f>
        <v>YES</v>
      </c>
      <c r="H192" s="549" t="str">
        <f>IF(INDEX('Weather Cases'!$G$10:$G$94,MATCH('Load Criteria'!X192,'Weather Cases'!$H$10:$H$94,0),1)="H","YES","")</f>
        <v>YES</v>
      </c>
      <c r="I192" s="557" t="s">
        <v>320</v>
      </c>
      <c r="J192" s="550">
        <v>50</v>
      </c>
      <c r="K192" s="508" t="s">
        <v>571</v>
      </c>
      <c r="L192" s="508" t="s">
        <v>24</v>
      </c>
      <c r="M192" s="508">
        <v>1</v>
      </c>
      <c r="N192" s="508">
        <v>2</v>
      </c>
      <c r="O192" s="508">
        <v>3</v>
      </c>
      <c r="P192" s="395">
        <v>4</v>
      </c>
      <c r="Q192" s="395">
        <v>5</v>
      </c>
      <c r="R192" s="395">
        <v>6</v>
      </c>
      <c r="S192" s="395">
        <v>7</v>
      </c>
      <c r="T192" s="395">
        <v>8</v>
      </c>
      <c r="U192" s="255" t="s">
        <v>574</v>
      </c>
      <c r="V192" s="551" t="s">
        <v>300</v>
      </c>
      <c r="W192" s="542" t="str">
        <f t="shared" si="51"/>
        <v>TI0050_A8+TA123 NA-</v>
      </c>
      <c r="X192" s="552" t="str">
        <f>I192&amp;TEXT(J192,"0000")&amp;"_"&amp;LEFT(Control!$D$23,1)&amp;LEFT(Control!$D$22,LEN(Control!$D$22)-2)</f>
        <v>TI0050_A8</v>
      </c>
      <c r="Y192" s="552" t="s">
        <v>433</v>
      </c>
      <c r="Z192" s="552" t="str">
        <f t="shared" si="275"/>
        <v>NA-</v>
      </c>
      <c r="AA192" s="552"/>
      <c r="AB192" s="552">
        <v>1</v>
      </c>
      <c r="AC192" s="552">
        <v>1</v>
      </c>
      <c r="AD192" s="552">
        <v>1</v>
      </c>
      <c r="AE192" s="552">
        <v>1</v>
      </c>
      <c r="AF192" s="552">
        <v>1</v>
      </c>
      <c r="AG192" s="542" t="s">
        <v>561</v>
      </c>
      <c r="AH192" s="552">
        <v>0</v>
      </c>
      <c r="AI192" s="552">
        <v>0</v>
      </c>
      <c r="AJ192" s="552">
        <v>1</v>
      </c>
      <c r="AK192" s="552">
        <v>1</v>
      </c>
      <c r="AL192" s="552">
        <v>1</v>
      </c>
      <c r="AM192" s="552">
        <v>0</v>
      </c>
      <c r="AN192" s="552">
        <v>0</v>
      </c>
      <c r="AO192" s="552">
        <v>1</v>
      </c>
      <c r="AP192" s="552">
        <v>1</v>
      </c>
      <c r="AQ192" s="552">
        <v>1</v>
      </c>
      <c r="AR192" s="552">
        <v>1</v>
      </c>
      <c r="AS192" s="552">
        <v>1</v>
      </c>
      <c r="AT192" s="552">
        <v>1</v>
      </c>
      <c r="AU192" s="552">
        <v>1</v>
      </c>
      <c r="AV192" s="553" t="str">
        <f>IF(H192="YES","'"&amp;INDEX('Structure Groups'!$C$12:$C$14,MATCH('Load Criteria'!$B$5,'Structure Groups'!$B$12:$B$14,0),1)&amp;"'","'All'")</f>
        <v>'GL Max 800m'</v>
      </c>
      <c r="AW192" s="552" t="s">
        <v>562</v>
      </c>
      <c r="AX192" s="552"/>
      <c r="AY192" s="552" t="str">
        <f t="shared" si="166"/>
        <v>Yes</v>
      </c>
      <c r="AZ192" s="389" t="str">
        <f t="shared" si="230"/>
        <v>1:1:Ahead</v>
      </c>
      <c r="BA192" s="554" t="s">
        <v>572</v>
      </c>
      <c r="BB192" s="391">
        <v>40</v>
      </c>
      <c r="BC192" s="579" t="str">
        <f t="shared" si="226"/>
        <v>11:1:Ahead</v>
      </c>
      <c r="BD192" s="554" t="s">
        <v>572</v>
      </c>
      <c r="BE192" s="580">
        <f t="shared" si="277"/>
        <v>40</v>
      </c>
      <c r="BF192" s="389" t="str">
        <f t="shared" si="231"/>
        <v>1:1:Back</v>
      </c>
      <c r="BG192" s="554" t="str">
        <f t="shared" si="232"/>
        <v>% Wire Ice</v>
      </c>
      <c r="BH192" s="391">
        <v>70</v>
      </c>
      <c r="BI192" s="389" t="str">
        <f t="shared" si="233"/>
        <v>2:1:Ahead</v>
      </c>
      <c r="BJ192" s="554" t="s">
        <v>572</v>
      </c>
      <c r="BK192" s="391">
        <v>40</v>
      </c>
      <c r="BL192" s="579" t="str">
        <f>$N192+10&amp;":1:"&amp;"Ahead"</f>
        <v>12:1:Ahead</v>
      </c>
      <c r="BM192" s="554" t="s">
        <v>572</v>
      </c>
      <c r="BN192" s="580">
        <f t="shared" si="279"/>
        <v>40</v>
      </c>
      <c r="BO192" s="389" t="str">
        <f t="shared" si="234"/>
        <v>2:1:Back</v>
      </c>
      <c r="BP192" s="554" t="str">
        <f t="shared" si="235"/>
        <v>% Wire Ice</v>
      </c>
      <c r="BQ192" s="391">
        <v>70</v>
      </c>
      <c r="BR192" s="389" t="str">
        <f t="shared" si="236"/>
        <v>3:1:Ahead</v>
      </c>
      <c r="BS192" s="554" t="str">
        <f t="shared" si="237"/>
        <v>% Wire Ice</v>
      </c>
      <c r="BT192" s="391">
        <f t="shared" si="238"/>
        <v>40</v>
      </c>
      <c r="BU192" s="579" t="str">
        <f>$O192+10&amp;":1:"&amp;"Ahead"</f>
        <v>13:1:Ahead</v>
      </c>
      <c r="BV192" s="554" t="str">
        <f t="shared" si="240"/>
        <v>% Wire Ice</v>
      </c>
      <c r="BW192" s="580">
        <f t="shared" ref="BW192:BW195" si="280">IF($L192="A",40,70)</f>
        <v>40</v>
      </c>
      <c r="BX192" s="389" t="str">
        <f t="shared" si="242"/>
        <v>3:1:Back</v>
      </c>
      <c r="BY192" s="554" t="str">
        <f t="shared" si="243"/>
        <v>% Wire Ice</v>
      </c>
      <c r="BZ192" s="391">
        <f t="shared" si="244"/>
        <v>70</v>
      </c>
      <c r="CA192" s="389" t="str">
        <f t="shared" si="245"/>
        <v>4:1:Back+Ahead</v>
      </c>
      <c r="CB192" s="554" t="str">
        <f t="shared" si="246"/>
        <v>% Wire Ice</v>
      </c>
      <c r="CC192" s="391">
        <f t="shared" si="247"/>
        <v>70</v>
      </c>
      <c r="CD192" s="389" t="str">
        <f t="shared" si="248"/>
        <v>14:1:Ahead</v>
      </c>
      <c r="CE192" s="554" t="str">
        <f t="shared" si="249"/>
        <v>% Wire Ice</v>
      </c>
      <c r="CF192" s="391">
        <f t="shared" si="250"/>
        <v>70</v>
      </c>
      <c r="CG192" s="389" t="str">
        <f t="shared" si="251"/>
        <v>5:1:Back+Ahead</v>
      </c>
      <c r="CH192" s="554" t="str">
        <f t="shared" si="252"/>
        <v>% Wire Ice</v>
      </c>
      <c r="CI192" s="391">
        <f t="shared" si="253"/>
        <v>70</v>
      </c>
      <c r="CJ192" s="389" t="str">
        <f t="shared" si="254"/>
        <v>15:1:Ahead</v>
      </c>
      <c r="CK192" s="554" t="str">
        <f t="shared" si="255"/>
        <v>% Wire Ice</v>
      </c>
      <c r="CL192" s="391">
        <f t="shared" si="256"/>
        <v>70</v>
      </c>
      <c r="CM192" s="389" t="str">
        <f t="shared" si="257"/>
        <v>6:1:Back+Ahead</v>
      </c>
      <c r="CN192" s="554" t="str">
        <f t="shared" si="258"/>
        <v>% Wire Ice</v>
      </c>
      <c r="CO192" s="391">
        <f t="shared" si="259"/>
        <v>70</v>
      </c>
      <c r="CP192" s="554" t="str">
        <f t="shared" si="260"/>
        <v>16:1:Ahead</v>
      </c>
      <c r="CQ192" s="554" t="str">
        <f t="shared" si="261"/>
        <v>% Wire Ice</v>
      </c>
      <c r="CR192" s="554">
        <f t="shared" si="262"/>
        <v>70</v>
      </c>
      <c r="CS192" s="554" t="str">
        <f t="shared" si="263"/>
        <v>7:1:Back+Ahead</v>
      </c>
      <c r="CT192" s="554" t="str">
        <f t="shared" si="264"/>
        <v>% Wire Ice</v>
      </c>
      <c r="CU192" s="554">
        <f t="shared" si="265"/>
        <v>70</v>
      </c>
      <c r="CV192" s="554" t="str">
        <f t="shared" si="266"/>
        <v>17:1:Ahead</v>
      </c>
      <c r="CW192" s="554" t="str">
        <f t="shared" si="267"/>
        <v>% Wire Ice</v>
      </c>
      <c r="CX192" s="554">
        <f t="shared" si="268"/>
        <v>70</v>
      </c>
      <c r="CY192" s="554" t="str">
        <f t="shared" si="269"/>
        <v>8:1:Back+Ahead</v>
      </c>
      <c r="CZ192" s="554" t="str">
        <f t="shared" si="270"/>
        <v>% Wire Ice</v>
      </c>
      <c r="DA192" s="554">
        <f t="shared" si="271"/>
        <v>70</v>
      </c>
      <c r="DB192" s="554" t="str">
        <f t="shared" si="272"/>
        <v>18:1:Ahead</v>
      </c>
      <c r="DC192" s="554" t="str">
        <f t="shared" si="273"/>
        <v>% Wire Ice</v>
      </c>
      <c r="DD192" s="554">
        <f t="shared" si="274"/>
        <v>70</v>
      </c>
      <c r="DE192" s="534"/>
      <c r="DF192" s="534"/>
      <c r="DG192" s="534"/>
    </row>
    <row r="193" spans="1:111" ht="15" x14ac:dyDescent="0.25">
      <c r="A193" s="549">
        <f>IFERROR(IF(INDEX('Weather Cases'!$E$10:$E$94,MATCH('Load Criteria'!X193,'Weather Cases'!$H$10:$H$94,0),1)=1,1,"-"),"-")</f>
        <v>1</v>
      </c>
      <c r="B193" s="555" t="s">
        <v>558</v>
      </c>
      <c r="C193" s="556" t="str">
        <f>IF('Weather Cases'!$E$41=0,"","DC")</f>
        <v>DC</v>
      </c>
      <c r="D193" s="555" t="s">
        <v>567</v>
      </c>
      <c r="E193" s="556" t="s">
        <v>22</v>
      </c>
      <c r="F193" s="556" t="s">
        <v>22</v>
      </c>
      <c r="G193" s="556" t="str">
        <f>IFERROR(IF(MID('Load Criteria'!X193,FIND("_",'Load Criteria'!X193,1)+1,1)=LEFT(Control!$D$23,1),"YES","-"),"-")</f>
        <v>YES</v>
      </c>
      <c r="H193" s="549" t="str">
        <f>IF(INDEX('Weather Cases'!$G$10:$G$94,MATCH('Load Criteria'!X193,'Weather Cases'!$H$10:$H$94,0),1)="H","YES","")</f>
        <v>YES</v>
      </c>
      <c r="I193" s="557" t="s">
        <v>320</v>
      </c>
      <c r="J193" s="550">
        <v>50</v>
      </c>
      <c r="K193" s="508" t="s">
        <v>571</v>
      </c>
      <c r="L193" s="508" t="s">
        <v>40</v>
      </c>
      <c r="M193" s="508">
        <v>1</v>
      </c>
      <c r="N193" s="508">
        <v>2</v>
      </c>
      <c r="O193" s="508">
        <v>3</v>
      </c>
      <c r="P193" s="395">
        <v>4</v>
      </c>
      <c r="Q193" s="395">
        <v>5</v>
      </c>
      <c r="R193" s="395">
        <v>6</v>
      </c>
      <c r="S193" s="395">
        <v>7</v>
      </c>
      <c r="T193" s="395">
        <v>8</v>
      </c>
      <c r="U193" s="255" t="s">
        <v>574</v>
      </c>
      <c r="V193" s="551" t="s">
        <v>300</v>
      </c>
      <c r="W193" s="542" t="str">
        <f t="shared" si="51"/>
        <v>TI0050_A8+TB123 NA-</v>
      </c>
      <c r="X193" s="552" t="str">
        <f>I193&amp;TEXT(J193,"0000")&amp;"_"&amp;LEFT(Control!$D$23,1)&amp;LEFT(Control!$D$22,LEN(Control!$D$22)-2)</f>
        <v>TI0050_A8</v>
      </c>
      <c r="Y193" s="552" t="s">
        <v>433</v>
      </c>
      <c r="Z193" s="552" t="str">
        <f t="shared" si="275"/>
        <v>NA-</v>
      </c>
      <c r="AA193" s="552"/>
      <c r="AB193" s="552">
        <v>1</v>
      </c>
      <c r="AC193" s="552">
        <v>1</v>
      </c>
      <c r="AD193" s="552">
        <v>1</v>
      </c>
      <c r="AE193" s="552">
        <v>1</v>
      </c>
      <c r="AF193" s="552">
        <v>1</v>
      </c>
      <c r="AG193" s="542" t="s">
        <v>561</v>
      </c>
      <c r="AH193" s="552">
        <v>0</v>
      </c>
      <c r="AI193" s="552">
        <v>0</v>
      </c>
      <c r="AJ193" s="552">
        <v>1</v>
      </c>
      <c r="AK193" s="552">
        <v>1</v>
      </c>
      <c r="AL193" s="552">
        <v>1</v>
      </c>
      <c r="AM193" s="552">
        <v>0</v>
      </c>
      <c r="AN193" s="552">
        <v>0</v>
      </c>
      <c r="AO193" s="552">
        <v>1</v>
      </c>
      <c r="AP193" s="552">
        <v>1</v>
      </c>
      <c r="AQ193" s="552">
        <v>1</v>
      </c>
      <c r="AR193" s="552">
        <v>1</v>
      </c>
      <c r="AS193" s="552">
        <v>1</v>
      </c>
      <c r="AT193" s="552">
        <v>1</v>
      </c>
      <c r="AU193" s="552">
        <v>1</v>
      </c>
      <c r="AV193" s="553" t="str">
        <f>IF(H193="YES","'"&amp;INDEX('Structure Groups'!$C$12:$C$14,MATCH('Load Criteria'!$B$5,'Structure Groups'!$B$12:$B$14,0),1)&amp;"'","'All'")</f>
        <v>'GL Max 800m'</v>
      </c>
      <c r="AW193" s="552" t="s">
        <v>562</v>
      </c>
      <c r="AX193" s="552"/>
      <c r="AY193" s="552" t="str">
        <f t="shared" si="166"/>
        <v>Yes</v>
      </c>
      <c r="AZ193" s="389" t="str">
        <f t="shared" si="230"/>
        <v>1:1:Back</v>
      </c>
      <c r="BA193" s="554" t="s">
        <v>572</v>
      </c>
      <c r="BB193" s="391">
        <v>40</v>
      </c>
      <c r="BC193" s="579" t="str">
        <f t="shared" si="226"/>
        <v>11:1:Ahead</v>
      </c>
      <c r="BD193" s="554" t="s">
        <v>572</v>
      </c>
      <c r="BE193" s="580">
        <f t="shared" si="277"/>
        <v>70</v>
      </c>
      <c r="BF193" s="389" t="str">
        <f t="shared" si="231"/>
        <v>1:1:Ahead</v>
      </c>
      <c r="BG193" s="554" t="str">
        <f t="shared" si="232"/>
        <v>% Wire Ice</v>
      </c>
      <c r="BH193" s="391">
        <v>70</v>
      </c>
      <c r="BI193" s="389" t="str">
        <f t="shared" si="233"/>
        <v>2:1:Back</v>
      </c>
      <c r="BJ193" s="554" t="s">
        <v>572</v>
      </c>
      <c r="BK193" s="391">
        <v>40</v>
      </c>
      <c r="BL193" s="579" t="str">
        <f t="shared" ref="BL193:BL195" si="281">$N193+10&amp;":1:"&amp;"Ahead"</f>
        <v>12:1:Ahead</v>
      </c>
      <c r="BM193" s="554" t="s">
        <v>572</v>
      </c>
      <c r="BN193" s="580">
        <f t="shared" si="279"/>
        <v>70</v>
      </c>
      <c r="BO193" s="389" t="str">
        <f t="shared" si="234"/>
        <v>2:1:Ahead</v>
      </c>
      <c r="BP193" s="554" t="str">
        <f t="shared" si="235"/>
        <v>% Wire Ice</v>
      </c>
      <c r="BQ193" s="391">
        <v>70</v>
      </c>
      <c r="BR193" s="389" t="str">
        <f t="shared" si="236"/>
        <v>3:1:Back</v>
      </c>
      <c r="BS193" s="554" t="str">
        <f t="shared" si="237"/>
        <v>% Wire Ice</v>
      </c>
      <c r="BT193" s="391">
        <f t="shared" si="238"/>
        <v>40</v>
      </c>
      <c r="BU193" s="579" t="str">
        <f t="shared" ref="BU193:BU195" si="282">$O193+10&amp;":1:"&amp;"Ahead"</f>
        <v>13:1:Ahead</v>
      </c>
      <c r="BV193" s="554" t="str">
        <f t="shared" si="240"/>
        <v>% Wire Ice</v>
      </c>
      <c r="BW193" s="580">
        <f t="shared" si="280"/>
        <v>70</v>
      </c>
      <c r="BX193" s="389" t="str">
        <f t="shared" si="242"/>
        <v>3:1:Ahead</v>
      </c>
      <c r="BY193" s="554" t="str">
        <f t="shared" si="243"/>
        <v>% Wire Ice</v>
      </c>
      <c r="BZ193" s="391">
        <f t="shared" si="244"/>
        <v>70</v>
      </c>
      <c r="CA193" s="389" t="str">
        <f t="shared" si="245"/>
        <v>4:1:Back+Ahead</v>
      </c>
      <c r="CB193" s="554" t="str">
        <f t="shared" si="246"/>
        <v>% Wire Ice</v>
      </c>
      <c r="CC193" s="391">
        <f t="shared" si="247"/>
        <v>70</v>
      </c>
      <c r="CD193" s="389" t="str">
        <f t="shared" si="248"/>
        <v>14:1:Ahead</v>
      </c>
      <c r="CE193" s="554" t="str">
        <f t="shared" si="249"/>
        <v>% Wire Ice</v>
      </c>
      <c r="CF193" s="391">
        <f t="shared" si="250"/>
        <v>70</v>
      </c>
      <c r="CG193" s="389" t="str">
        <f t="shared" si="251"/>
        <v>5:1:Back+Ahead</v>
      </c>
      <c r="CH193" s="554" t="str">
        <f t="shared" si="252"/>
        <v>% Wire Ice</v>
      </c>
      <c r="CI193" s="391">
        <f t="shared" si="253"/>
        <v>70</v>
      </c>
      <c r="CJ193" s="389" t="str">
        <f t="shared" si="254"/>
        <v>15:1:Ahead</v>
      </c>
      <c r="CK193" s="554" t="str">
        <f t="shared" si="255"/>
        <v>% Wire Ice</v>
      </c>
      <c r="CL193" s="391">
        <f t="shared" si="256"/>
        <v>70</v>
      </c>
      <c r="CM193" s="389" t="str">
        <f t="shared" si="257"/>
        <v>6:1:Back+Ahead</v>
      </c>
      <c r="CN193" s="554" t="str">
        <f t="shared" si="258"/>
        <v>% Wire Ice</v>
      </c>
      <c r="CO193" s="391">
        <f t="shared" si="259"/>
        <v>70</v>
      </c>
      <c r="CP193" s="554" t="str">
        <f t="shared" si="260"/>
        <v>16:1:Ahead</v>
      </c>
      <c r="CQ193" s="554" t="str">
        <f t="shared" si="261"/>
        <v>% Wire Ice</v>
      </c>
      <c r="CR193" s="554">
        <f t="shared" si="262"/>
        <v>70</v>
      </c>
      <c r="CS193" s="554" t="str">
        <f t="shared" si="263"/>
        <v>7:1:Back+Ahead</v>
      </c>
      <c r="CT193" s="554" t="str">
        <f t="shared" si="264"/>
        <v>% Wire Ice</v>
      </c>
      <c r="CU193" s="554">
        <f t="shared" si="265"/>
        <v>70</v>
      </c>
      <c r="CV193" s="554" t="str">
        <f t="shared" si="266"/>
        <v>17:1:Ahead</v>
      </c>
      <c r="CW193" s="554" t="str">
        <f t="shared" si="267"/>
        <v>% Wire Ice</v>
      </c>
      <c r="CX193" s="554">
        <f t="shared" si="268"/>
        <v>70</v>
      </c>
      <c r="CY193" s="554" t="str">
        <f t="shared" si="269"/>
        <v>8:1:Back+Ahead</v>
      </c>
      <c r="CZ193" s="554" t="str">
        <f t="shared" si="270"/>
        <v>% Wire Ice</v>
      </c>
      <c r="DA193" s="554">
        <f t="shared" si="271"/>
        <v>70</v>
      </c>
      <c r="DB193" s="554" t="str">
        <f t="shared" si="272"/>
        <v>18:1:Ahead</v>
      </c>
      <c r="DC193" s="554" t="str">
        <f t="shared" si="273"/>
        <v>% Wire Ice</v>
      </c>
      <c r="DD193" s="554">
        <f t="shared" si="274"/>
        <v>70</v>
      </c>
      <c r="DE193" s="534"/>
      <c r="DF193" s="534"/>
      <c r="DG193" s="534"/>
    </row>
    <row r="194" spans="1:111" ht="15" x14ac:dyDescent="0.25">
      <c r="A194" s="549">
        <f>IFERROR(IF(INDEX('Weather Cases'!$E$10:$E$94,MATCH('Load Criteria'!X194,'Weather Cases'!$H$10:$H$94,0),1)=1,1,"-"),"-")</f>
        <v>1</v>
      </c>
      <c r="B194" s="555" t="s">
        <v>558</v>
      </c>
      <c r="C194" s="556" t="str">
        <f>IF('Weather Cases'!$E$41=0,"","DC")</f>
        <v>DC</v>
      </c>
      <c r="D194" s="555" t="s">
        <v>567</v>
      </c>
      <c r="E194" s="556" t="s">
        <v>22</v>
      </c>
      <c r="F194" s="556" t="s">
        <v>22</v>
      </c>
      <c r="G194" s="556" t="str">
        <f>IFERROR(IF(MID('Load Criteria'!X194,FIND("_",'Load Criteria'!X194,1)+1,1)=LEFT(Control!$D$23,1),"YES","-"),"-")</f>
        <v>YES</v>
      </c>
      <c r="H194" s="549" t="str">
        <f>IF(INDEX('Weather Cases'!$G$10:$G$94,MATCH('Load Criteria'!X194,'Weather Cases'!$H$10:$H$94,0),1)="H","YES","")</f>
        <v>YES</v>
      </c>
      <c r="I194" s="557" t="s">
        <v>320</v>
      </c>
      <c r="J194" s="550">
        <v>50</v>
      </c>
      <c r="K194" s="508" t="s">
        <v>571</v>
      </c>
      <c r="L194" s="508" t="s">
        <v>24</v>
      </c>
      <c r="M194" s="508">
        <v>4</v>
      </c>
      <c r="N194" s="508">
        <v>5</v>
      </c>
      <c r="O194" s="508">
        <v>6</v>
      </c>
      <c r="P194" s="395">
        <v>1</v>
      </c>
      <c r="Q194" s="395">
        <v>2</v>
      </c>
      <c r="R194" s="395">
        <v>3</v>
      </c>
      <c r="S194" s="395">
        <v>7</v>
      </c>
      <c r="T194" s="395">
        <v>8</v>
      </c>
      <c r="U194" s="255" t="s">
        <v>574</v>
      </c>
      <c r="V194" s="551" t="s">
        <v>300</v>
      </c>
      <c r="W194" s="542" t="str">
        <f t="shared" si="51"/>
        <v>TI0050_A8+TA456 NA-</v>
      </c>
      <c r="X194" s="552" t="str">
        <f>I194&amp;TEXT(J194,"0000")&amp;"_"&amp;LEFT(Control!$D$23,1)&amp;LEFT(Control!$D$22,LEN(Control!$D$22)-2)</f>
        <v>TI0050_A8</v>
      </c>
      <c r="Y194" s="552" t="s">
        <v>433</v>
      </c>
      <c r="Z194" s="552" t="str">
        <f t="shared" si="275"/>
        <v>NA-</v>
      </c>
      <c r="AA194" s="552"/>
      <c r="AB194" s="552">
        <v>1</v>
      </c>
      <c r="AC194" s="552">
        <v>1</v>
      </c>
      <c r="AD194" s="552">
        <v>1</v>
      </c>
      <c r="AE194" s="552">
        <v>1</v>
      </c>
      <c r="AF194" s="552">
        <v>1</v>
      </c>
      <c r="AG194" s="542" t="s">
        <v>561</v>
      </c>
      <c r="AH194" s="552">
        <v>0</v>
      </c>
      <c r="AI194" s="552">
        <v>0</v>
      </c>
      <c r="AJ194" s="552">
        <v>1</v>
      </c>
      <c r="AK194" s="552">
        <v>1</v>
      </c>
      <c r="AL194" s="552">
        <v>1</v>
      </c>
      <c r="AM194" s="552">
        <v>0</v>
      </c>
      <c r="AN194" s="552">
        <v>0</v>
      </c>
      <c r="AO194" s="552">
        <v>1</v>
      </c>
      <c r="AP194" s="552">
        <v>1</v>
      </c>
      <c r="AQ194" s="552">
        <v>1</v>
      </c>
      <c r="AR194" s="552">
        <v>1</v>
      </c>
      <c r="AS194" s="552">
        <v>1</v>
      </c>
      <c r="AT194" s="552">
        <v>1</v>
      </c>
      <c r="AU194" s="552">
        <v>1</v>
      </c>
      <c r="AV194" s="553" t="str">
        <f>IF(H194="YES","'"&amp;INDEX('Structure Groups'!$C$12:$C$14,MATCH('Load Criteria'!$B$5,'Structure Groups'!$B$12:$B$14,0),1)&amp;"'","'All'")</f>
        <v>'GL Max 800m'</v>
      </c>
      <c r="AW194" s="552" t="s">
        <v>562</v>
      </c>
      <c r="AX194" s="552"/>
      <c r="AY194" s="552" t="str">
        <f t="shared" si="166"/>
        <v>Yes</v>
      </c>
      <c r="AZ194" s="389" t="str">
        <f t="shared" si="230"/>
        <v>4:1:Ahead</v>
      </c>
      <c r="BA194" s="554" t="s">
        <v>572</v>
      </c>
      <c r="BB194" s="391">
        <v>40</v>
      </c>
      <c r="BC194" s="579" t="str">
        <f t="shared" si="226"/>
        <v>14:1:Ahead</v>
      </c>
      <c r="BD194" s="554" t="s">
        <v>572</v>
      </c>
      <c r="BE194" s="580">
        <f t="shared" si="277"/>
        <v>40</v>
      </c>
      <c r="BF194" s="389" t="str">
        <f t="shared" si="231"/>
        <v>4:1:Back</v>
      </c>
      <c r="BG194" s="554" t="str">
        <f t="shared" si="232"/>
        <v>% Wire Ice</v>
      </c>
      <c r="BH194" s="391">
        <v>70</v>
      </c>
      <c r="BI194" s="389" t="str">
        <f t="shared" si="233"/>
        <v>5:1:Ahead</v>
      </c>
      <c r="BJ194" s="554" t="s">
        <v>572</v>
      </c>
      <c r="BK194" s="391">
        <v>40</v>
      </c>
      <c r="BL194" s="579" t="str">
        <f t="shared" si="281"/>
        <v>15:1:Ahead</v>
      </c>
      <c r="BM194" s="554" t="s">
        <v>572</v>
      </c>
      <c r="BN194" s="580">
        <f t="shared" si="279"/>
        <v>40</v>
      </c>
      <c r="BO194" s="389" t="str">
        <f t="shared" si="234"/>
        <v>5:1:Back</v>
      </c>
      <c r="BP194" s="554" t="str">
        <f t="shared" si="235"/>
        <v>% Wire Ice</v>
      </c>
      <c r="BQ194" s="391">
        <v>70</v>
      </c>
      <c r="BR194" s="389" t="str">
        <f t="shared" si="236"/>
        <v>6:1:Ahead</v>
      </c>
      <c r="BS194" s="554" t="str">
        <f t="shared" si="237"/>
        <v>% Wire Ice</v>
      </c>
      <c r="BT194" s="391">
        <f t="shared" si="238"/>
        <v>40</v>
      </c>
      <c r="BU194" s="579" t="str">
        <f t="shared" si="282"/>
        <v>16:1:Ahead</v>
      </c>
      <c r="BV194" s="554" t="str">
        <f t="shared" si="240"/>
        <v>% Wire Ice</v>
      </c>
      <c r="BW194" s="580">
        <f t="shared" si="280"/>
        <v>40</v>
      </c>
      <c r="BX194" s="389" t="str">
        <f t="shared" si="242"/>
        <v>6:1:Back</v>
      </c>
      <c r="BY194" s="554" t="str">
        <f t="shared" si="243"/>
        <v>% Wire Ice</v>
      </c>
      <c r="BZ194" s="391">
        <f t="shared" si="244"/>
        <v>70</v>
      </c>
      <c r="CA194" s="389" t="str">
        <f t="shared" si="245"/>
        <v>1:1:Back+Ahead</v>
      </c>
      <c r="CB194" s="554" t="str">
        <f t="shared" si="246"/>
        <v>% Wire Ice</v>
      </c>
      <c r="CC194" s="391">
        <f t="shared" si="247"/>
        <v>70</v>
      </c>
      <c r="CD194" s="389" t="str">
        <f t="shared" si="248"/>
        <v>11:1:Ahead</v>
      </c>
      <c r="CE194" s="554" t="str">
        <f t="shared" si="249"/>
        <v>% Wire Ice</v>
      </c>
      <c r="CF194" s="391">
        <f t="shared" si="250"/>
        <v>70</v>
      </c>
      <c r="CG194" s="389" t="str">
        <f t="shared" si="251"/>
        <v>2:1:Back+Ahead</v>
      </c>
      <c r="CH194" s="554" t="str">
        <f t="shared" si="252"/>
        <v>% Wire Ice</v>
      </c>
      <c r="CI194" s="391">
        <f t="shared" si="253"/>
        <v>70</v>
      </c>
      <c r="CJ194" s="389" t="str">
        <f t="shared" si="254"/>
        <v>12:1:Ahead</v>
      </c>
      <c r="CK194" s="554" t="str">
        <f t="shared" si="255"/>
        <v>% Wire Ice</v>
      </c>
      <c r="CL194" s="391">
        <f t="shared" si="256"/>
        <v>70</v>
      </c>
      <c r="CM194" s="389" t="str">
        <f t="shared" si="257"/>
        <v>3:1:Back+Ahead</v>
      </c>
      <c r="CN194" s="554" t="str">
        <f t="shared" si="258"/>
        <v>% Wire Ice</v>
      </c>
      <c r="CO194" s="391">
        <f t="shared" si="259"/>
        <v>70</v>
      </c>
      <c r="CP194" s="554" t="str">
        <f t="shared" si="260"/>
        <v>13:1:Ahead</v>
      </c>
      <c r="CQ194" s="554" t="str">
        <f t="shared" si="261"/>
        <v>% Wire Ice</v>
      </c>
      <c r="CR194" s="554">
        <f t="shared" si="262"/>
        <v>70</v>
      </c>
      <c r="CS194" s="554" t="str">
        <f t="shared" si="263"/>
        <v>7:1:Back+Ahead</v>
      </c>
      <c r="CT194" s="554" t="str">
        <f t="shared" si="264"/>
        <v>% Wire Ice</v>
      </c>
      <c r="CU194" s="554">
        <f t="shared" si="265"/>
        <v>70</v>
      </c>
      <c r="CV194" s="554" t="str">
        <f t="shared" si="266"/>
        <v>17:1:Ahead</v>
      </c>
      <c r="CW194" s="554" t="str">
        <f t="shared" si="267"/>
        <v>% Wire Ice</v>
      </c>
      <c r="CX194" s="554">
        <f t="shared" si="268"/>
        <v>70</v>
      </c>
      <c r="CY194" s="554" t="str">
        <f t="shared" si="269"/>
        <v>8:1:Back+Ahead</v>
      </c>
      <c r="CZ194" s="554" t="str">
        <f t="shared" si="270"/>
        <v>% Wire Ice</v>
      </c>
      <c r="DA194" s="554">
        <f t="shared" si="271"/>
        <v>70</v>
      </c>
      <c r="DB194" s="554" t="str">
        <f t="shared" si="272"/>
        <v>18:1:Ahead</v>
      </c>
      <c r="DC194" s="554" t="str">
        <f t="shared" si="273"/>
        <v>% Wire Ice</v>
      </c>
      <c r="DD194" s="554">
        <f t="shared" si="274"/>
        <v>70</v>
      </c>
      <c r="DE194" s="534"/>
      <c r="DF194" s="534"/>
      <c r="DG194" s="534"/>
    </row>
    <row r="195" spans="1:111" ht="15" x14ac:dyDescent="0.25">
      <c r="A195" s="549">
        <f>IFERROR(IF(INDEX('Weather Cases'!$E$10:$E$94,MATCH('Load Criteria'!X195,'Weather Cases'!$H$10:$H$94,0),1)=1,1,"-"),"-")</f>
        <v>1</v>
      </c>
      <c r="B195" s="555" t="s">
        <v>558</v>
      </c>
      <c r="C195" s="556" t="str">
        <f>IF('Weather Cases'!$E$41=0,"","DC")</f>
        <v>DC</v>
      </c>
      <c r="D195" s="555" t="s">
        <v>567</v>
      </c>
      <c r="E195" s="556" t="s">
        <v>22</v>
      </c>
      <c r="F195" s="556" t="s">
        <v>22</v>
      </c>
      <c r="G195" s="556" t="str">
        <f>IFERROR(IF(MID('Load Criteria'!X195,FIND("_",'Load Criteria'!X195,1)+1,1)=LEFT(Control!$D$23,1),"YES","-"),"-")</f>
        <v>YES</v>
      </c>
      <c r="H195" s="549" t="str">
        <f>IF(INDEX('Weather Cases'!$G$10:$G$94,MATCH('Load Criteria'!X195,'Weather Cases'!$H$10:$H$94,0),1)="H","YES","")</f>
        <v>YES</v>
      </c>
      <c r="I195" s="557" t="s">
        <v>320</v>
      </c>
      <c r="J195" s="550">
        <v>50</v>
      </c>
      <c r="K195" s="508" t="s">
        <v>571</v>
      </c>
      <c r="L195" s="508" t="s">
        <v>40</v>
      </c>
      <c r="M195" s="508">
        <v>4</v>
      </c>
      <c r="N195" s="508">
        <v>5</v>
      </c>
      <c r="O195" s="508">
        <v>6</v>
      </c>
      <c r="P195" s="395">
        <v>1</v>
      </c>
      <c r="Q195" s="395">
        <v>2</v>
      </c>
      <c r="R195" s="395">
        <v>3</v>
      </c>
      <c r="S195" s="395">
        <v>7</v>
      </c>
      <c r="T195" s="395">
        <v>8</v>
      </c>
      <c r="U195" s="255" t="s">
        <v>574</v>
      </c>
      <c r="V195" s="551" t="s">
        <v>300</v>
      </c>
      <c r="W195" s="542" t="str">
        <f t="shared" si="51"/>
        <v>TI0050_A8+TB456 NA-</v>
      </c>
      <c r="X195" s="552" t="str">
        <f>I195&amp;TEXT(J195,"0000")&amp;"_"&amp;LEFT(Control!$D$23,1)&amp;LEFT(Control!$D$22,LEN(Control!$D$22)-2)</f>
        <v>TI0050_A8</v>
      </c>
      <c r="Y195" s="552" t="s">
        <v>433</v>
      </c>
      <c r="Z195" s="552" t="str">
        <f t="shared" si="275"/>
        <v>NA-</v>
      </c>
      <c r="AA195" s="552"/>
      <c r="AB195" s="552">
        <v>1</v>
      </c>
      <c r="AC195" s="552">
        <v>1</v>
      </c>
      <c r="AD195" s="552">
        <v>1</v>
      </c>
      <c r="AE195" s="552">
        <v>1</v>
      </c>
      <c r="AF195" s="552">
        <v>1</v>
      </c>
      <c r="AG195" s="542" t="s">
        <v>561</v>
      </c>
      <c r="AH195" s="552">
        <v>0</v>
      </c>
      <c r="AI195" s="552">
        <v>0</v>
      </c>
      <c r="AJ195" s="552">
        <v>1</v>
      </c>
      <c r="AK195" s="552">
        <v>1</v>
      </c>
      <c r="AL195" s="552">
        <v>1</v>
      </c>
      <c r="AM195" s="552">
        <v>0</v>
      </c>
      <c r="AN195" s="552">
        <v>0</v>
      </c>
      <c r="AO195" s="552">
        <v>1</v>
      </c>
      <c r="AP195" s="552">
        <v>1</v>
      </c>
      <c r="AQ195" s="552">
        <v>1</v>
      </c>
      <c r="AR195" s="552">
        <v>1</v>
      </c>
      <c r="AS195" s="552">
        <v>1</v>
      </c>
      <c r="AT195" s="552">
        <v>1</v>
      </c>
      <c r="AU195" s="552">
        <v>1</v>
      </c>
      <c r="AV195" s="553" t="str">
        <f>IF(H195="YES","'"&amp;INDEX('Structure Groups'!$C$12:$C$14,MATCH('Load Criteria'!$B$5,'Structure Groups'!$B$12:$B$14,0),1)&amp;"'","'All'")</f>
        <v>'GL Max 800m'</v>
      </c>
      <c r="AW195" s="552" t="s">
        <v>562</v>
      </c>
      <c r="AX195" s="552"/>
      <c r="AY195" s="552" t="str">
        <f t="shared" si="166"/>
        <v>Yes</v>
      </c>
      <c r="AZ195" s="389" t="str">
        <f t="shared" si="230"/>
        <v>4:1:Back</v>
      </c>
      <c r="BA195" s="554" t="s">
        <v>572</v>
      </c>
      <c r="BB195" s="391">
        <v>40</v>
      </c>
      <c r="BC195" s="579" t="str">
        <f t="shared" si="226"/>
        <v>14:1:Ahead</v>
      </c>
      <c r="BD195" s="554" t="s">
        <v>572</v>
      </c>
      <c r="BE195" s="580">
        <f t="shared" si="277"/>
        <v>70</v>
      </c>
      <c r="BF195" s="389" t="str">
        <f t="shared" si="231"/>
        <v>4:1:Ahead</v>
      </c>
      <c r="BG195" s="554" t="str">
        <f t="shared" si="232"/>
        <v>% Wire Ice</v>
      </c>
      <c r="BH195" s="391">
        <v>70</v>
      </c>
      <c r="BI195" s="389" t="str">
        <f t="shared" si="233"/>
        <v>5:1:Back</v>
      </c>
      <c r="BJ195" s="554" t="s">
        <v>572</v>
      </c>
      <c r="BK195" s="391">
        <v>40</v>
      </c>
      <c r="BL195" s="579" t="str">
        <f t="shared" si="281"/>
        <v>15:1:Ahead</v>
      </c>
      <c r="BM195" s="554" t="s">
        <v>572</v>
      </c>
      <c r="BN195" s="580">
        <f t="shared" si="279"/>
        <v>70</v>
      </c>
      <c r="BO195" s="389" t="str">
        <f t="shared" si="234"/>
        <v>5:1:Ahead</v>
      </c>
      <c r="BP195" s="554" t="str">
        <f t="shared" si="235"/>
        <v>% Wire Ice</v>
      </c>
      <c r="BQ195" s="391">
        <v>70</v>
      </c>
      <c r="BR195" s="389" t="str">
        <f t="shared" si="236"/>
        <v>6:1:Back</v>
      </c>
      <c r="BS195" s="554" t="str">
        <f t="shared" si="237"/>
        <v>% Wire Ice</v>
      </c>
      <c r="BT195" s="391">
        <f t="shared" si="238"/>
        <v>40</v>
      </c>
      <c r="BU195" s="579" t="str">
        <f t="shared" si="282"/>
        <v>16:1:Ahead</v>
      </c>
      <c r="BV195" s="554" t="str">
        <f t="shared" si="240"/>
        <v>% Wire Ice</v>
      </c>
      <c r="BW195" s="580">
        <f t="shared" si="280"/>
        <v>70</v>
      </c>
      <c r="BX195" s="389" t="str">
        <f t="shared" si="242"/>
        <v>6:1:Ahead</v>
      </c>
      <c r="BY195" s="554" t="str">
        <f t="shared" si="243"/>
        <v>% Wire Ice</v>
      </c>
      <c r="BZ195" s="391">
        <f t="shared" si="244"/>
        <v>70</v>
      </c>
      <c r="CA195" s="389" t="str">
        <f t="shared" si="245"/>
        <v>1:1:Back+Ahead</v>
      </c>
      <c r="CB195" s="554" t="str">
        <f t="shared" si="246"/>
        <v>% Wire Ice</v>
      </c>
      <c r="CC195" s="391">
        <f t="shared" si="247"/>
        <v>70</v>
      </c>
      <c r="CD195" s="389" t="str">
        <f t="shared" si="248"/>
        <v>11:1:Ahead</v>
      </c>
      <c r="CE195" s="554" t="str">
        <f t="shared" si="249"/>
        <v>% Wire Ice</v>
      </c>
      <c r="CF195" s="391">
        <f t="shared" si="250"/>
        <v>70</v>
      </c>
      <c r="CG195" s="389" t="str">
        <f t="shared" si="251"/>
        <v>2:1:Back+Ahead</v>
      </c>
      <c r="CH195" s="554" t="str">
        <f t="shared" si="252"/>
        <v>% Wire Ice</v>
      </c>
      <c r="CI195" s="391">
        <f t="shared" si="253"/>
        <v>70</v>
      </c>
      <c r="CJ195" s="389" t="str">
        <f t="shared" si="254"/>
        <v>12:1:Ahead</v>
      </c>
      <c r="CK195" s="554" t="str">
        <f t="shared" si="255"/>
        <v>% Wire Ice</v>
      </c>
      <c r="CL195" s="391">
        <f t="shared" si="256"/>
        <v>70</v>
      </c>
      <c r="CM195" s="389" t="str">
        <f t="shared" si="257"/>
        <v>3:1:Back+Ahead</v>
      </c>
      <c r="CN195" s="554" t="str">
        <f t="shared" si="258"/>
        <v>% Wire Ice</v>
      </c>
      <c r="CO195" s="391">
        <f t="shared" si="259"/>
        <v>70</v>
      </c>
      <c r="CP195" s="554" t="str">
        <f t="shared" si="260"/>
        <v>13:1:Ahead</v>
      </c>
      <c r="CQ195" s="554" t="str">
        <f t="shared" si="261"/>
        <v>% Wire Ice</v>
      </c>
      <c r="CR195" s="554">
        <f t="shared" si="262"/>
        <v>70</v>
      </c>
      <c r="CS195" s="554" t="str">
        <f t="shared" si="263"/>
        <v>7:1:Back+Ahead</v>
      </c>
      <c r="CT195" s="554" t="str">
        <f t="shared" si="264"/>
        <v>% Wire Ice</v>
      </c>
      <c r="CU195" s="554">
        <f t="shared" si="265"/>
        <v>70</v>
      </c>
      <c r="CV195" s="554" t="str">
        <f t="shared" si="266"/>
        <v>17:1:Ahead</v>
      </c>
      <c r="CW195" s="554" t="str">
        <f t="shared" si="267"/>
        <v>% Wire Ice</v>
      </c>
      <c r="CX195" s="554">
        <f t="shared" si="268"/>
        <v>70</v>
      </c>
      <c r="CY195" s="554" t="str">
        <f t="shared" si="269"/>
        <v>8:1:Back+Ahead</v>
      </c>
      <c r="CZ195" s="554" t="str">
        <f t="shared" si="270"/>
        <v>% Wire Ice</v>
      </c>
      <c r="DA195" s="554">
        <f t="shared" si="271"/>
        <v>70</v>
      </c>
      <c r="DB195" s="554" t="str">
        <f t="shared" si="272"/>
        <v>18:1:Ahead</v>
      </c>
      <c r="DC195" s="554" t="str">
        <f t="shared" si="273"/>
        <v>% Wire Ice</v>
      </c>
      <c r="DD195" s="554">
        <f t="shared" si="274"/>
        <v>70</v>
      </c>
      <c r="DE195" s="534"/>
      <c r="DF195" s="534"/>
      <c r="DG195" s="534"/>
    </row>
    <row r="196" spans="1:111" ht="15" hidden="1" x14ac:dyDescent="0.25">
      <c r="A196" s="549" t="str">
        <f>IFERROR(IF(INDEX('Weather Cases'!$E$10:$E$94,MATCH('Load Criteria'!X196,'Weather Cases'!$H$10:$H$94,0),1)=1,1,"-"),"-")</f>
        <v>-</v>
      </c>
      <c r="B196" s="556" t="s">
        <v>22</v>
      </c>
      <c r="C196" s="556" t="s">
        <v>22</v>
      </c>
      <c r="D196" s="556" t="s">
        <v>22</v>
      </c>
      <c r="E196" s="556" t="s">
        <v>22</v>
      </c>
      <c r="F196" s="556" t="s">
        <v>22</v>
      </c>
      <c r="G196" s="556" t="str">
        <f>IFERROR(IF(MID('Load Criteria'!X196,FIND("_",'Load Criteria'!X196,1)+1,1)=LEFT(Control!$D$23,1),"YES","-"),"-")</f>
        <v>-</v>
      </c>
      <c r="H196" s="549" t="s">
        <v>22</v>
      </c>
      <c r="I196" s="256" t="s">
        <v>576</v>
      </c>
      <c r="J196" s="550"/>
      <c r="K196" s="550"/>
      <c r="L196" s="550"/>
      <c r="M196" s="550"/>
      <c r="N196" s="550"/>
      <c r="O196" s="550"/>
      <c r="P196" s="392"/>
      <c r="Q196" s="392"/>
      <c r="R196" s="392"/>
      <c r="S196" s="392"/>
      <c r="T196" s="392"/>
      <c r="U196" s="550"/>
      <c r="V196" s="551"/>
      <c r="W196" s="542"/>
      <c r="X196" s="552"/>
      <c r="Y196" s="552"/>
      <c r="Z196" s="552"/>
      <c r="AA196" s="552"/>
      <c r="AB196" s="552"/>
      <c r="AC196" s="552"/>
      <c r="AD196" s="552"/>
      <c r="AE196" s="552"/>
      <c r="AF196" s="552"/>
      <c r="AG196" s="542"/>
      <c r="AH196" s="552"/>
      <c r="AI196" s="552"/>
      <c r="AJ196" s="552"/>
      <c r="AK196" s="552"/>
      <c r="AL196" s="552"/>
      <c r="AM196" s="552"/>
      <c r="AN196" s="552"/>
      <c r="AO196" s="552"/>
      <c r="AP196" s="552"/>
      <c r="AQ196" s="552"/>
      <c r="AR196" s="552"/>
      <c r="AS196" s="552"/>
      <c r="AT196" s="552"/>
      <c r="AU196" s="552"/>
      <c r="AV196" s="553"/>
      <c r="AW196" s="552"/>
      <c r="AX196" s="552"/>
      <c r="AY196" s="552"/>
      <c r="AZ196" s="554"/>
      <c r="BA196" s="554"/>
      <c r="BB196" s="552"/>
      <c r="BC196" s="554"/>
      <c r="BD196" s="552"/>
      <c r="BE196" s="554"/>
      <c r="BF196" s="554"/>
      <c r="BG196" s="554"/>
      <c r="BH196" s="554"/>
      <c r="BI196" s="554"/>
      <c r="BJ196" s="554"/>
      <c r="BK196" s="554"/>
      <c r="BL196" s="554"/>
      <c r="BM196" s="554"/>
      <c r="BN196" s="554"/>
      <c r="BO196" s="554"/>
      <c r="BP196" s="554"/>
      <c r="BQ196" s="554"/>
      <c r="BR196" s="554"/>
      <c r="BS196" s="554"/>
      <c r="BT196" s="554"/>
      <c r="BU196" s="554"/>
      <c r="BV196" s="554"/>
      <c r="BW196" s="554"/>
      <c r="BX196" s="554"/>
      <c r="BY196" s="554"/>
      <c r="BZ196" s="554"/>
      <c r="CA196" s="554"/>
      <c r="CB196" s="554"/>
      <c r="CC196" s="554"/>
      <c r="CD196" s="554"/>
      <c r="CE196" s="554"/>
      <c r="CF196" s="554"/>
      <c r="CG196" s="554"/>
      <c r="CH196" s="554"/>
      <c r="CI196" s="554"/>
      <c r="CJ196" s="554"/>
      <c r="CK196" s="554"/>
      <c r="CL196" s="554"/>
      <c r="CM196" s="554"/>
      <c r="CN196" s="554"/>
      <c r="CO196" s="554"/>
      <c r="CP196" s="554"/>
      <c r="CQ196" s="554"/>
      <c r="CR196" s="554"/>
      <c r="CS196" s="554"/>
      <c r="CT196" s="554"/>
      <c r="CU196" s="554"/>
      <c r="CV196" s="554"/>
      <c r="CW196" s="554"/>
      <c r="CX196" s="554"/>
      <c r="CY196" s="554"/>
      <c r="CZ196" s="554"/>
      <c r="DA196" s="554"/>
      <c r="DB196" s="554"/>
      <c r="DC196" s="554"/>
      <c r="DD196" s="554"/>
      <c r="DE196" s="534"/>
      <c r="DF196" s="534"/>
      <c r="DG196" s="534"/>
    </row>
    <row r="197" spans="1:111" ht="15" x14ac:dyDescent="0.25">
      <c r="A197" s="549">
        <f>IFERROR(IF(INDEX('Weather Cases'!$E$10:$E$94,MATCH('Load Criteria'!X197,'Weather Cases'!$H$10:$H$94,0),1)=1,1,"-"),"-")</f>
        <v>1</v>
      </c>
      <c r="B197" s="555" t="s">
        <v>558</v>
      </c>
      <c r="C197" s="556" t="str">
        <f>IF('Weather Cases'!$E$42=0,"","DC/SC")</f>
        <v>DC/SC</v>
      </c>
      <c r="D197" s="555" t="s">
        <v>567</v>
      </c>
      <c r="E197" s="556" t="s">
        <v>22</v>
      </c>
      <c r="F197" s="556" t="s">
        <v>22</v>
      </c>
      <c r="G197" s="556" t="str">
        <f>IFERROR(IF(MID('Load Criteria'!X197,FIND("_",'Load Criteria'!X197,1)+1,1)=LEFT(Control!$D$23,1),"YES","-"),"-")</f>
        <v>-</v>
      </c>
      <c r="H197" s="549" t="str">
        <f>IF(INDEX('Weather Cases'!$G$10:$G$94,MATCH('Load Criteria'!X197,'Weather Cases'!$H$10:$H$94,0),1)="H","YES","")</f>
        <v>YES</v>
      </c>
      <c r="I197" s="557" t="s">
        <v>323</v>
      </c>
      <c r="J197" s="550">
        <v>50</v>
      </c>
      <c r="K197" s="508" t="s">
        <v>88</v>
      </c>
      <c r="L197" s="508"/>
      <c r="M197" s="508"/>
      <c r="N197" s="508"/>
      <c r="O197" s="508"/>
      <c r="P197" s="395"/>
      <c r="Q197" s="395"/>
      <c r="R197" s="395"/>
      <c r="S197" s="395"/>
      <c r="T197" s="395"/>
      <c r="U197" s="255" t="s">
        <v>568</v>
      </c>
      <c r="V197" s="551" t="s">
        <v>300</v>
      </c>
      <c r="W197" s="542" t="str">
        <f t="shared" si="51"/>
        <v>EI0050_8+E NA+</v>
      </c>
      <c r="X197" s="552" t="str">
        <f>I197&amp;TEXT(J197,"0000")&amp;"_"&amp;LEFT(Control!$D$22,LEN(Control!$D$22)-2)</f>
        <v>EI0050_8</v>
      </c>
      <c r="Y197" s="552" t="s">
        <v>433</v>
      </c>
      <c r="Z197" s="552" t="str">
        <f>U197</f>
        <v>NA+</v>
      </c>
      <c r="AA197" s="552"/>
      <c r="AB197" s="552">
        <v>1</v>
      </c>
      <c r="AC197" s="552">
        <v>1</v>
      </c>
      <c r="AD197" s="552">
        <v>1</v>
      </c>
      <c r="AE197" s="552">
        <v>1</v>
      </c>
      <c r="AF197" s="552">
        <v>1</v>
      </c>
      <c r="AG197" s="542" t="s">
        <v>561</v>
      </c>
      <c r="AH197" s="552">
        <v>0</v>
      </c>
      <c r="AI197" s="552">
        <v>0</v>
      </c>
      <c r="AJ197" s="552">
        <v>1</v>
      </c>
      <c r="AK197" s="552">
        <v>1</v>
      </c>
      <c r="AL197" s="552">
        <v>1</v>
      </c>
      <c r="AM197" s="552">
        <v>0</v>
      </c>
      <c r="AN197" s="552">
        <v>0</v>
      </c>
      <c r="AO197" s="552">
        <v>1</v>
      </c>
      <c r="AP197" s="552">
        <v>1</v>
      </c>
      <c r="AQ197" s="552">
        <v>1</v>
      </c>
      <c r="AR197" s="552">
        <v>1</v>
      </c>
      <c r="AS197" s="552">
        <v>1</v>
      </c>
      <c r="AT197" s="552">
        <v>1</v>
      </c>
      <c r="AU197" s="552">
        <v>1</v>
      </c>
      <c r="AV197" s="553" t="str">
        <f>IF(H197="YES","'"&amp;INDEX('Structure Groups'!$C$12:$C$14,MATCH('Load Criteria'!$B$5,'Structure Groups'!$B$12:$B$14,0),1)&amp;"'","'All'")</f>
        <v>'GL Max 800m'</v>
      </c>
      <c r="AW197" s="552" t="s">
        <v>562</v>
      </c>
      <c r="AX197" s="552"/>
      <c r="AY197" s="552" t="str">
        <f t="shared" ref="AY197:AY218" si="283">IF(L197="","No","Yes")</f>
        <v>No</v>
      </c>
      <c r="AZ197" s="554" t="str">
        <f>IF(AY197="No","",IF(L197="A","Ahead Spans","Back Spans"))</f>
        <v/>
      </c>
      <c r="BA197" s="554"/>
      <c r="BB197" s="552"/>
      <c r="BC197" s="554"/>
      <c r="BD197" s="552"/>
      <c r="BE197" s="554"/>
      <c r="BF197" s="554"/>
      <c r="BG197" s="554"/>
      <c r="BH197" s="554"/>
      <c r="BI197" s="554"/>
      <c r="BJ197" s="554"/>
      <c r="BK197" s="554"/>
      <c r="BL197" s="554"/>
      <c r="BM197" s="554"/>
      <c r="BN197" s="554"/>
      <c r="BO197" s="554"/>
      <c r="BP197" s="554"/>
      <c r="BQ197" s="554"/>
      <c r="BR197" s="554"/>
      <c r="BS197" s="554"/>
      <c r="BT197" s="554"/>
      <c r="BU197" s="554"/>
      <c r="BV197" s="554"/>
      <c r="BW197" s="554"/>
      <c r="BX197" s="554"/>
      <c r="BY197" s="554"/>
      <c r="BZ197" s="554"/>
      <c r="CA197" s="554"/>
      <c r="CB197" s="554"/>
      <c r="CC197" s="554"/>
      <c r="CD197" s="554"/>
      <c r="CE197" s="554"/>
      <c r="CF197" s="554"/>
      <c r="CG197" s="554"/>
      <c r="CH197" s="554"/>
      <c r="CI197" s="554"/>
      <c r="CJ197" s="554"/>
      <c r="CK197" s="554"/>
      <c r="CL197" s="554"/>
      <c r="CM197" s="554"/>
      <c r="CN197" s="554"/>
      <c r="CO197" s="554"/>
      <c r="CP197" s="554"/>
      <c r="CQ197" s="554"/>
      <c r="CR197" s="554"/>
      <c r="CS197" s="554"/>
      <c r="CT197" s="554"/>
      <c r="CU197" s="554"/>
      <c r="CV197" s="554"/>
      <c r="CW197" s="554"/>
      <c r="CX197" s="554"/>
      <c r="CY197" s="554"/>
      <c r="CZ197" s="554"/>
      <c r="DA197" s="554"/>
      <c r="DB197" s="554"/>
      <c r="DC197" s="554"/>
      <c r="DD197" s="554"/>
      <c r="DE197" s="534"/>
      <c r="DF197" s="534"/>
      <c r="DG197" s="534"/>
    </row>
    <row r="198" spans="1:111" ht="15" x14ac:dyDescent="0.25">
      <c r="A198" s="549">
        <f>IFERROR(IF(INDEX('Weather Cases'!$E$10:$E$94,MATCH('Load Criteria'!X198,'Weather Cases'!$H$10:$H$94,0),1)=1,1,"-"),"-")</f>
        <v>1</v>
      </c>
      <c r="B198" s="555" t="s">
        <v>558</v>
      </c>
      <c r="C198" s="556" t="str">
        <f>IF('Weather Cases'!$E$42=0,"","DC/SC")</f>
        <v>DC/SC</v>
      </c>
      <c r="D198" s="555" t="s">
        <v>567</v>
      </c>
      <c r="E198" s="556" t="s">
        <v>22</v>
      </c>
      <c r="F198" s="556" t="s">
        <v>22</v>
      </c>
      <c r="G198" s="556" t="str">
        <f>IFERROR(IF(MID('Load Criteria'!X198,FIND("_",'Load Criteria'!X198,1)+1,1)=LEFT(Control!$D$23,1),"YES","-"),"-")</f>
        <v>-</v>
      </c>
      <c r="H198" s="549" t="str">
        <f>IF(INDEX('Weather Cases'!$G$10:$G$94,MATCH('Load Criteria'!X198,'Weather Cases'!$H$10:$H$94,0),1)="H","YES","")</f>
        <v>YES</v>
      </c>
      <c r="I198" s="557" t="s">
        <v>323</v>
      </c>
      <c r="J198" s="550">
        <v>50</v>
      </c>
      <c r="K198" s="508" t="s">
        <v>569</v>
      </c>
      <c r="L198" s="508" t="s">
        <v>24</v>
      </c>
      <c r="M198" s="508"/>
      <c r="N198" s="508"/>
      <c r="O198" s="508"/>
      <c r="P198" s="395"/>
      <c r="Q198" s="395"/>
      <c r="R198" s="395"/>
      <c r="S198" s="395"/>
      <c r="T198" s="395"/>
      <c r="U198" s="255" t="s">
        <v>568</v>
      </c>
      <c r="V198" s="551" t="s">
        <v>300</v>
      </c>
      <c r="W198" s="542" t="str">
        <f t="shared" si="51"/>
        <v>EI0050_8+LA NA+</v>
      </c>
      <c r="X198" s="552" t="str">
        <f>I198&amp;TEXT(J198,"0000")&amp;"_"&amp;LEFT(Control!$D$22,LEN(Control!$D$22)-2)</f>
        <v>EI0050_8</v>
      </c>
      <c r="Y198" s="552" t="s">
        <v>433</v>
      </c>
      <c r="Z198" s="552" t="str">
        <f>U198</f>
        <v>NA+</v>
      </c>
      <c r="AA198" s="552"/>
      <c r="AB198" s="552">
        <v>1</v>
      </c>
      <c r="AC198" s="552">
        <v>1</v>
      </c>
      <c r="AD198" s="552">
        <v>1</v>
      </c>
      <c r="AE198" s="552">
        <v>1</v>
      </c>
      <c r="AF198" s="552">
        <v>1</v>
      </c>
      <c r="AG198" s="542" t="s">
        <v>561</v>
      </c>
      <c r="AH198" s="552">
        <v>0</v>
      </c>
      <c r="AI198" s="552">
        <v>0</v>
      </c>
      <c r="AJ198" s="552">
        <v>1</v>
      </c>
      <c r="AK198" s="552">
        <v>1</v>
      </c>
      <c r="AL198" s="552">
        <v>1</v>
      </c>
      <c r="AM198" s="552">
        <v>0</v>
      </c>
      <c r="AN198" s="552">
        <v>0</v>
      </c>
      <c r="AO198" s="552">
        <v>1</v>
      </c>
      <c r="AP198" s="552">
        <v>1</v>
      </c>
      <c r="AQ198" s="552">
        <v>1</v>
      </c>
      <c r="AR198" s="552">
        <v>1</v>
      </c>
      <c r="AS198" s="552">
        <v>1</v>
      </c>
      <c r="AT198" s="552">
        <v>1</v>
      </c>
      <c r="AU198" s="552">
        <v>1</v>
      </c>
      <c r="AV198" s="553" t="str">
        <f>IF(H198="YES","'"&amp;INDEX('Structure Groups'!$C$12:$C$14,MATCH('Load Criteria'!$B$5,'Structure Groups'!$B$12:$B$14,0),1)&amp;"'","'All'")</f>
        <v>'GL Max 800m'</v>
      </c>
      <c r="AW198" s="552" t="s">
        <v>562</v>
      </c>
      <c r="AX198" s="552"/>
      <c r="AY198" s="552" t="str">
        <f t="shared" si="283"/>
        <v>Yes</v>
      </c>
      <c r="AZ198" s="554" t="str">
        <f>IF($AY198="No","",IF($L198="A","Ahead Spans","Back Spans"))</f>
        <v>Ahead Spans</v>
      </c>
      <c r="BA198" s="554" t="str">
        <f>IF(AZ198="","","% Wire Ice")</f>
        <v>% Wire Ice</v>
      </c>
      <c r="BB198" s="552">
        <f>IF(AZ198="","",40)</f>
        <v>40</v>
      </c>
      <c r="BC198" s="554" t="str">
        <f>IF($AY198="No","",IF($L198="A","Back Spans","Ahead Spans"))</f>
        <v>Back Spans</v>
      </c>
      <c r="BD198" s="554" t="str">
        <f t="shared" ref="BD198:BD199" si="284">IF(BC198="","","% Wire Ice")</f>
        <v>% Wire Ice</v>
      </c>
      <c r="BE198" s="552">
        <f>IF(BB198="","",70)</f>
        <v>70</v>
      </c>
      <c r="BF198" s="554"/>
      <c r="BG198" s="554"/>
      <c r="BH198" s="554"/>
      <c r="BI198" s="554"/>
      <c r="BJ198" s="554"/>
      <c r="BK198" s="554"/>
      <c r="BL198" s="554"/>
      <c r="BM198" s="554"/>
      <c r="BN198" s="554"/>
      <c r="BO198" s="554"/>
      <c r="BP198" s="554"/>
      <c r="BQ198" s="554"/>
      <c r="BR198" s="554"/>
      <c r="BS198" s="554"/>
      <c r="BT198" s="554"/>
      <c r="BU198" s="554"/>
      <c r="BV198" s="554"/>
      <c r="BW198" s="554"/>
      <c r="BX198" s="554"/>
      <c r="BY198" s="554"/>
      <c r="BZ198" s="554"/>
      <c r="CA198" s="554"/>
      <c r="CB198" s="554"/>
      <c r="CC198" s="554"/>
      <c r="CD198" s="554"/>
      <c r="CE198" s="554"/>
      <c r="CF198" s="554"/>
      <c r="CG198" s="554"/>
      <c r="CH198" s="554"/>
      <c r="CI198" s="554"/>
      <c r="CJ198" s="554"/>
      <c r="CK198" s="554"/>
      <c r="CL198" s="554"/>
      <c r="CM198" s="554"/>
      <c r="CN198" s="554"/>
      <c r="CO198" s="554"/>
      <c r="CP198" s="554"/>
      <c r="CQ198" s="554"/>
      <c r="CR198" s="554"/>
      <c r="CS198" s="554"/>
      <c r="CT198" s="554"/>
      <c r="CU198" s="554"/>
      <c r="CV198" s="554"/>
      <c r="CW198" s="554"/>
      <c r="CX198" s="554"/>
      <c r="CY198" s="554"/>
      <c r="CZ198" s="554"/>
      <c r="DA198" s="554"/>
      <c r="DB198" s="554"/>
      <c r="DC198" s="554"/>
      <c r="DD198" s="554"/>
      <c r="DE198" s="534"/>
      <c r="DF198" s="534"/>
      <c r="DG198" s="534"/>
    </row>
    <row r="199" spans="1:111" ht="15" x14ac:dyDescent="0.25">
      <c r="A199" s="549">
        <f>IFERROR(IF(INDEX('Weather Cases'!$E$10:$E$94,MATCH('Load Criteria'!X199,'Weather Cases'!$H$10:$H$94,0),1)=1,1,"-"),"-")</f>
        <v>1</v>
      </c>
      <c r="B199" s="555" t="s">
        <v>558</v>
      </c>
      <c r="C199" s="556" t="str">
        <f>IF('Weather Cases'!$E$42=0,"","DC/SC")</f>
        <v>DC/SC</v>
      </c>
      <c r="D199" s="555" t="s">
        <v>567</v>
      </c>
      <c r="E199" s="556" t="s">
        <v>22</v>
      </c>
      <c r="F199" s="556" t="s">
        <v>22</v>
      </c>
      <c r="G199" s="556" t="str">
        <f>IFERROR(IF(MID('Load Criteria'!X199,FIND("_",'Load Criteria'!X199,1)+1,1)=LEFT(Control!$D$23,1),"YES","-"),"-")</f>
        <v>-</v>
      </c>
      <c r="H199" s="549" t="str">
        <f>IF(INDEX('Weather Cases'!$G$10:$G$94,MATCH('Load Criteria'!X199,'Weather Cases'!$H$10:$H$94,0),1)="H","YES","")</f>
        <v>YES</v>
      </c>
      <c r="I199" s="557" t="s">
        <v>323</v>
      </c>
      <c r="J199" s="550">
        <v>50</v>
      </c>
      <c r="K199" s="508" t="s">
        <v>569</v>
      </c>
      <c r="L199" s="508" t="s">
        <v>40</v>
      </c>
      <c r="M199" s="508"/>
      <c r="N199" s="508"/>
      <c r="O199" s="508"/>
      <c r="P199" s="395"/>
      <c r="Q199" s="395"/>
      <c r="R199" s="395"/>
      <c r="S199" s="395"/>
      <c r="T199" s="395"/>
      <c r="U199" s="255" t="s">
        <v>568</v>
      </c>
      <c r="V199" s="551" t="s">
        <v>300</v>
      </c>
      <c r="W199" s="542" t="str">
        <f t="shared" si="51"/>
        <v>EI0050_8+LB NA+</v>
      </c>
      <c r="X199" s="552" t="str">
        <f>I199&amp;TEXT(J199,"0000")&amp;"_"&amp;LEFT(Control!$D$22,LEN(Control!$D$22)-2)</f>
        <v>EI0050_8</v>
      </c>
      <c r="Y199" s="552" t="s">
        <v>433</v>
      </c>
      <c r="Z199" s="552" t="str">
        <f>U199</f>
        <v>NA+</v>
      </c>
      <c r="AA199" s="552"/>
      <c r="AB199" s="552">
        <v>1</v>
      </c>
      <c r="AC199" s="552">
        <v>1</v>
      </c>
      <c r="AD199" s="552">
        <v>1</v>
      </c>
      <c r="AE199" s="552">
        <v>1</v>
      </c>
      <c r="AF199" s="552">
        <v>1</v>
      </c>
      <c r="AG199" s="542" t="s">
        <v>561</v>
      </c>
      <c r="AH199" s="552">
        <v>0</v>
      </c>
      <c r="AI199" s="552">
        <v>0</v>
      </c>
      <c r="AJ199" s="552">
        <v>1</v>
      </c>
      <c r="AK199" s="552">
        <v>1</v>
      </c>
      <c r="AL199" s="552">
        <v>1</v>
      </c>
      <c r="AM199" s="552">
        <v>0</v>
      </c>
      <c r="AN199" s="552">
        <v>0</v>
      </c>
      <c r="AO199" s="552">
        <v>1</v>
      </c>
      <c r="AP199" s="552">
        <v>1</v>
      </c>
      <c r="AQ199" s="552">
        <v>1</v>
      </c>
      <c r="AR199" s="552">
        <v>1</v>
      </c>
      <c r="AS199" s="552">
        <v>1</v>
      </c>
      <c r="AT199" s="552">
        <v>1</v>
      </c>
      <c r="AU199" s="552">
        <v>1</v>
      </c>
      <c r="AV199" s="553" t="str">
        <f>IF(H199="YES","'"&amp;INDEX('Structure Groups'!$C$12:$C$14,MATCH('Load Criteria'!$B$5,'Structure Groups'!$B$12:$B$14,0),1)&amp;"'","'All'")</f>
        <v>'GL Max 800m'</v>
      </c>
      <c r="AW199" s="552" t="s">
        <v>562</v>
      </c>
      <c r="AX199" s="552"/>
      <c r="AY199" s="552" t="str">
        <f t="shared" si="283"/>
        <v>Yes</v>
      </c>
      <c r="AZ199" s="554" t="str">
        <f>IF($AY199="No","",IF($L199="A","Ahead Spans","Back Spans"))</f>
        <v>Back Spans</v>
      </c>
      <c r="BA199" s="554" t="str">
        <f>IF(AZ199="","","% Wire Ice")</f>
        <v>% Wire Ice</v>
      </c>
      <c r="BB199" s="552">
        <f>IF(AZ199="","",40)</f>
        <v>40</v>
      </c>
      <c r="BC199" s="554" t="str">
        <f>IF($AY199="No","",IF($L199="A","Back Spans","Ahead Spans"))</f>
        <v>Ahead Spans</v>
      </c>
      <c r="BD199" s="554" t="str">
        <f t="shared" si="284"/>
        <v>% Wire Ice</v>
      </c>
      <c r="BE199" s="552">
        <f>IF(BB199="","",70)</f>
        <v>70</v>
      </c>
      <c r="BF199" s="554"/>
      <c r="BG199" s="554"/>
      <c r="BH199" s="554"/>
      <c r="BI199" s="554"/>
      <c r="BJ199" s="554"/>
      <c r="BK199" s="554"/>
      <c r="BL199" s="554"/>
      <c r="BM199" s="554"/>
      <c r="BN199" s="554"/>
      <c r="BO199" s="554"/>
      <c r="BP199" s="554"/>
      <c r="BQ199" s="554"/>
      <c r="BR199" s="554"/>
      <c r="BS199" s="554"/>
      <c r="BT199" s="554"/>
      <c r="BU199" s="554"/>
      <c r="BV199" s="554"/>
      <c r="BW199" s="554"/>
      <c r="BX199" s="554"/>
      <c r="BY199" s="554"/>
      <c r="BZ199" s="554"/>
      <c r="CA199" s="554"/>
      <c r="CB199" s="554"/>
      <c r="CC199" s="554"/>
      <c r="CD199" s="554"/>
      <c r="CE199" s="554"/>
      <c r="CF199" s="554"/>
      <c r="CG199" s="554"/>
      <c r="CH199" s="554"/>
      <c r="CI199" s="554"/>
      <c r="CJ199" s="554"/>
      <c r="CK199" s="554"/>
      <c r="CL199" s="554"/>
      <c r="CM199" s="554"/>
      <c r="CN199" s="554"/>
      <c r="CO199" s="554"/>
      <c r="CP199" s="554"/>
      <c r="CQ199" s="554"/>
      <c r="CR199" s="554"/>
      <c r="CS199" s="554"/>
      <c r="CT199" s="554"/>
      <c r="CU199" s="554"/>
      <c r="CV199" s="554"/>
      <c r="CW199" s="554"/>
      <c r="CX199" s="554"/>
      <c r="CY199" s="554"/>
      <c r="CZ199" s="554"/>
      <c r="DA199" s="554"/>
      <c r="DB199" s="554"/>
      <c r="DC199" s="554"/>
      <c r="DD199" s="554"/>
      <c r="DE199" s="534"/>
      <c r="DF199" s="534"/>
      <c r="DG199" s="534"/>
    </row>
    <row r="200" spans="1:111" ht="15" hidden="1" x14ac:dyDescent="0.25">
      <c r="A200" s="549">
        <f>IFERROR(IF(INDEX('Weather Cases'!$E$10:$E$94,MATCH('Load Criteria'!X200,'Weather Cases'!$H$10:$H$94,0),1)=1,1,"-"),"-")</f>
        <v>1</v>
      </c>
      <c r="B200" s="555" t="s">
        <v>558</v>
      </c>
      <c r="C200" s="556" t="str">
        <f>IF('Weather Cases'!$E$42=0,"","SC")</f>
        <v>SC</v>
      </c>
      <c r="D200" s="555" t="s">
        <v>567</v>
      </c>
      <c r="E200" s="556" t="s">
        <v>22</v>
      </c>
      <c r="F200" s="556" t="s">
        <v>22</v>
      </c>
      <c r="G200" s="556" t="str">
        <f>IFERROR(IF(MID('Load Criteria'!X200,FIND("_",'Load Criteria'!X200,1)+1,1)=LEFT(Control!$D$23,1),"YES","-"),"-")</f>
        <v>-</v>
      </c>
      <c r="H200" s="549" t="str">
        <f>IF(INDEX('Weather Cases'!$G$10:$G$94,MATCH('Load Criteria'!X200,'Weather Cases'!$H$10:$H$94,0),1)="H","YES","")</f>
        <v>YES</v>
      </c>
      <c r="I200" s="557" t="s">
        <v>323</v>
      </c>
      <c r="J200" s="550">
        <v>50</v>
      </c>
      <c r="K200" s="508" t="s">
        <v>571</v>
      </c>
      <c r="L200" s="508" t="s">
        <v>24</v>
      </c>
      <c r="M200" s="508">
        <v>1</v>
      </c>
      <c r="N200" s="508">
        <v>2</v>
      </c>
      <c r="O200" s="508"/>
      <c r="P200" s="395">
        <v>3</v>
      </c>
      <c r="Q200" s="395">
        <v>7</v>
      </c>
      <c r="R200" s="395">
        <v>8</v>
      </c>
      <c r="S200" s="395"/>
      <c r="T200" s="395"/>
      <c r="U200" s="255" t="s">
        <v>568</v>
      </c>
      <c r="V200" s="551" t="s">
        <v>300</v>
      </c>
      <c r="W200" s="542" t="str">
        <f t="shared" si="51"/>
        <v>EI0050_8+TA12 NA+</v>
      </c>
      <c r="X200" s="552" t="str">
        <f>I200&amp;TEXT(J200,"0000")&amp;"_"&amp;LEFT(Control!$D$22,LEN(Control!$D$22)-2)</f>
        <v>EI0050_8</v>
      </c>
      <c r="Y200" s="552" t="s">
        <v>433</v>
      </c>
      <c r="Z200" s="552" t="str">
        <f>U200</f>
        <v>NA+</v>
      </c>
      <c r="AA200" s="552"/>
      <c r="AB200" s="552">
        <v>1</v>
      </c>
      <c r="AC200" s="552">
        <v>1</v>
      </c>
      <c r="AD200" s="552">
        <v>1</v>
      </c>
      <c r="AE200" s="552">
        <v>1</v>
      </c>
      <c r="AF200" s="552">
        <v>1</v>
      </c>
      <c r="AG200" s="542" t="s">
        <v>561</v>
      </c>
      <c r="AH200" s="552">
        <v>0</v>
      </c>
      <c r="AI200" s="552">
        <v>0</v>
      </c>
      <c r="AJ200" s="552">
        <v>1</v>
      </c>
      <c r="AK200" s="552">
        <v>1</v>
      </c>
      <c r="AL200" s="552">
        <v>1</v>
      </c>
      <c r="AM200" s="552">
        <v>0</v>
      </c>
      <c r="AN200" s="552">
        <v>0</v>
      </c>
      <c r="AO200" s="552">
        <v>1</v>
      </c>
      <c r="AP200" s="552">
        <v>1</v>
      </c>
      <c r="AQ200" s="552">
        <v>1</v>
      </c>
      <c r="AR200" s="552">
        <v>1</v>
      </c>
      <c r="AS200" s="552">
        <v>1</v>
      </c>
      <c r="AT200" s="552">
        <v>1</v>
      </c>
      <c r="AU200" s="552"/>
      <c r="AV200" s="553" t="str">
        <f>IF(H200="YES","'"&amp;INDEX('Structure Groups'!$C$12:$C$14,MATCH('Load Criteria'!$B$5,'Structure Groups'!$B$12:$B$14,0),1)&amp;"'","'All'")</f>
        <v>'GL Max 800m'</v>
      </c>
      <c r="AW200" s="552" t="s">
        <v>562</v>
      </c>
      <c r="AX200" s="552"/>
      <c r="AY200" s="552" t="str">
        <f t="shared" si="283"/>
        <v>Yes</v>
      </c>
      <c r="AZ200" s="389" t="str">
        <f t="shared" ref="AZ200:AZ207" si="285">$M200&amp;":1:"&amp;IF($L200="A","Ahead","Back")</f>
        <v>1:1:Ahead</v>
      </c>
      <c r="BA200" s="554" t="s">
        <v>572</v>
      </c>
      <c r="BB200" s="391">
        <v>40</v>
      </c>
      <c r="BC200" s="579" t="str">
        <f t="shared" ref="BC200:BC207" si="286">$M200+10&amp;":1:"&amp;"Ahead"</f>
        <v>11:1:Ahead</v>
      </c>
      <c r="BD200" s="554" t="s">
        <v>572</v>
      </c>
      <c r="BE200" s="580">
        <f t="shared" ref="BE200" si="287">IF($L200="A",40,70)</f>
        <v>40</v>
      </c>
      <c r="BF200" s="389" t="str">
        <f t="shared" ref="BF200:BF207" si="288">$M200&amp;":1:"&amp;IF($L200="A","Back","Ahead")</f>
        <v>1:1:Back</v>
      </c>
      <c r="BG200" s="554" t="str">
        <f t="shared" ref="BG200:BG207" si="289">IF(BF200="","","% Wire Ice")</f>
        <v>% Wire Ice</v>
      </c>
      <c r="BH200" s="391">
        <v>70</v>
      </c>
      <c r="BI200" s="389" t="str">
        <f t="shared" ref="BI200:BI207" si="290">$N200&amp;":1:"&amp;IF($L200="A","Ahead","Back")</f>
        <v>2:1:Ahead</v>
      </c>
      <c r="BJ200" s="554" t="s">
        <v>572</v>
      </c>
      <c r="BK200" s="391">
        <v>40</v>
      </c>
      <c r="BL200" s="579" t="str">
        <f t="shared" ref="BL200" si="291">$N200+10&amp;":1:"&amp;"Ahead"</f>
        <v>12:1:Ahead</v>
      </c>
      <c r="BM200" s="554" t="s">
        <v>572</v>
      </c>
      <c r="BN200" s="580">
        <f t="shared" ref="BN200" si="292">IF($L200="A",40,70)</f>
        <v>40</v>
      </c>
      <c r="BO200" s="389" t="str">
        <f t="shared" ref="BO200:BO207" si="293">$N200&amp;":1:"&amp;IF($L200="A","Back","Ahead")</f>
        <v>2:1:Back</v>
      </c>
      <c r="BP200" s="554" t="str">
        <f t="shared" ref="BP200:BP207" si="294">IF(BO200="","","% Wire Ice")</f>
        <v>% Wire Ice</v>
      </c>
      <c r="BQ200" s="391">
        <v>70</v>
      </c>
      <c r="BR200" s="389" t="str">
        <f t="shared" ref="BR200:BR207" si="295">IF($O200="","",$O200&amp;":1:"&amp;IF($L200="A","Ahead","Back"))</f>
        <v/>
      </c>
      <c r="BS200" s="554" t="str">
        <f t="shared" ref="BS200:BS207" si="296">IF($O200="","","% Wire Ice")</f>
        <v/>
      </c>
      <c r="BT200" s="391" t="str">
        <f t="shared" ref="BT200:BT207" si="297">IF($O200="","",40)</f>
        <v/>
      </c>
      <c r="BU200" s="389" t="str">
        <f t="shared" ref="BU200:BU203" si="298">IF($O200="","",$O200+10&amp;":1:"&amp;IF($L200="A","Ahead","Back"))</f>
        <v/>
      </c>
      <c r="BV200" s="554" t="str">
        <f t="shared" ref="BV200:BV207" si="299">IF($O200="","","% Wire Ice")</f>
        <v/>
      </c>
      <c r="BW200" s="391" t="str">
        <f t="shared" ref="BW200:BW203" si="300">IF($O200="","",40)</f>
        <v/>
      </c>
      <c r="BX200" s="389" t="str">
        <f t="shared" ref="BX200:BX207" si="301">IF($O200="","",$O200&amp;":1:"&amp;IF($L200="A","Back","Ahead"))</f>
        <v/>
      </c>
      <c r="BY200" s="554" t="str">
        <f t="shared" ref="BY200:BY207" si="302">IF($O200="","","% Wire Ice")</f>
        <v/>
      </c>
      <c r="BZ200" s="391" t="str">
        <f t="shared" ref="BZ200:BZ207" si="303">IF($O200="","",70)</f>
        <v/>
      </c>
      <c r="CA200" s="389" t="str">
        <f t="shared" ref="CA200:CA207" si="304">IF($P200="","",$P200&amp;":1:Back+Ahead")</f>
        <v>3:1:Back+Ahead</v>
      </c>
      <c r="CB200" s="554" t="str">
        <f t="shared" ref="CB200:CB207" si="305">IF($P200="","","% Wire Ice")</f>
        <v>% Wire Ice</v>
      </c>
      <c r="CC200" s="391">
        <f t="shared" ref="CC200:CC207" si="306">IF($P200="","",70)</f>
        <v>70</v>
      </c>
      <c r="CD200" s="389" t="str">
        <f t="shared" ref="CD200:CD207" si="307">IF($P200="","",$P200+10&amp;":1:Ahead")</f>
        <v>13:1:Ahead</v>
      </c>
      <c r="CE200" s="554" t="str">
        <f t="shared" ref="CE200:CE207" si="308">IF($P200="","","% Wire Ice")</f>
        <v>% Wire Ice</v>
      </c>
      <c r="CF200" s="391">
        <f t="shared" ref="CF200:CF207" si="309">IF($P200="","",70)</f>
        <v>70</v>
      </c>
      <c r="CG200" s="389" t="str">
        <f t="shared" ref="CG200:CG207" si="310">IF($Q200="","",$Q200&amp;":1:Back+Ahead")</f>
        <v>7:1:Back+Ahead</v>
      </c>
      <c r="CH200" s="554" t="str">
        <f t="shared" ref="CH200:CH207" si="311">IF($Q200="","","% Wire Ice")</f>
        <v>% Wire Ice</v>
      </c>
      <c r="CI200" s="391">
        <f t="shared" ref="CI200:CI207" si="312">IF($Q200="","",70)</f>
        <v>70</v>
      </c>
      <c r="CJ200" s="389" t="str">
        <f t="shared" ref="CJ200:CJ207" si="313">IF($Q200="","",$Q200+10&amp;":1:Ahead")</f>
        <v>17:1:Ahead</v>
      </c>
      <c r="CK200" s="554" t="str">
        <f t="shared" ref="CK200:CK207" si="314">IF($Q200="","","% Wire Ice")</f>
        <v>% Wire Ice</v>
      </c>
      <c r="CL200" s="391">
        <f t="shared" ref="CL200:CL207" si="315">IF($Q200="","",70)</f>
        <v>70</v>
      </c>
      <c r="CM200" s="389" t="str">
        <f t="shared" ref="CM200:CM207" si="316">IF($R200="","",$R200&amp;":1:Back+Ahead")</f>
        <v>8:1:Back+Ahead</v>
      </c>
      <c r="CN200" s="554" t="str">
        <f t="shared" ref="CN200:CN207" si="317">IF($R200="","","% Wire Ice")</f>
        <v>% Wire Ice</v>
      </c>
      <c r="CO200" s="391">
        <f t="shared" ref="CO200:CO207" si="318">IF($R200="","",70)</f>
        <v>70</v>
      </c>
      <c r="CP200" s="554" t="str">
        <f t="shared" ref="CP200:CP207" si="319">IF($R200="","",$R200+10&amp;":1:Ahead")</f>
        <v>18:1:Ahead</v>
      </c>
      <c r="CQ200" s="554" t="str">
        <f t="shared" ref="CQ200:CQ207" si="320">IF($R200="","","% Wire Ice")</f>
        <v>% Wire Ice</v>
      </c>
      <c r="CR200" s="554">
        <f t="shared" ref="CR200:CR207" si="321">IF($R200="","",70)</f>
        <v>70</v>
      </c>
      <c r="CS200" s="554" t="str">
        <f t="shared" ref="CS200:CS207" si="322">IF($S200="","",$S200&amp;":1:Back+Ahead")</f>
        <v/>
      </c>
      <c r="CT200" s="554" t="str">
        <f t="shared" ref="CT200:CT207" si="323">IF($S200="","","% Wire Ice")</f>
        <v/>
      </c>
      <c r="CU200" s="554" t="str">
        <f t="shared" ref="CU200:CU207" si="324">IF($S200="","",70)</f>
        <v/>
      </c>
      <c r="CV200" s="554" t="str">
        <f t="shared" ref="CV200:CV207" si="325">IF($S200="","",$S200+10&amp;":1:Ahead")</f>
        <v/>
      </c>
      <c r="CW200" s="554" t="str">
        <f t="shared" ref="CW200:CW207" si="326">IF($S200="","","% Wire Ice")</f>
        <v/>
      </c>
      <c r="CX200" s="554" t="str">
        <f t="shared" ref="CX200:CX207" si="327">IF($S200="","",70)</f>
        <v/>
      </c>
      <c r="CY200" s="554" t="str">
        <f t="shared" ref="CY200:CY207" si="328">IF($T200="","",$T200&amp;":1:Back+Ahead")</f>
        <v/>
      </c>
      <c r="CZ200" s="554" t="str">
        <f t="shared" ref="CZ200:CZ207" si="329">IF($T200="","","% Wire Ice")</f>
        <v/>
      </c>
      <c r="DA200" s="554" t="str">
        <f t="shared" ref="DA200:DA207" si="330">IF($T200="","",70)</f>
        <v/>
      </c>
      <c r="DB200" s="554" t="str">
        <f t="shared" ref="DB200:DB207" si="331">IF($T200="","",$T200+10&amp;":1:Ahead")</f>
        <v/>
      </c>
      <c r="DC200" s="554" t="str">
        <f t="shared" ref="DC200:DC207" si="332">IF($T200="","","% Wire Ice")</f>
        <v/>
      </c>
      <c r="DD200" s="554" t="str">
        <f t="shared" ref="DD200:DD207" si="333">IF($T200="","",70)</f>
        <v/>
      </c>
      <c r="DE200" s="534"/>
      <c r="DF200" s="534"/>
      <c r="DG200" s="534"/>
    </row>
    <row r="201" spans="1:111" ht="15" hidden="1" x14ac:dyDescent="0.25">
      <c r="A201" s="549">
        <f>IFERROR(IF(INDEX('Weather Cases'!$E$10:$E$94,MATCH('Load Criteria'!X201,'Weather Cases'!$H$10:$H$94,0),1)=1,1,"-"),"-")</f>
        <v>1</v>
      </c>
      <c r="B201" s="555" t="s">
        <v>558</v>
      </c>
      <c r="C201" s="556" t="str">
        <f>IF('Weather Cases'!$E$42=0,"","SC")</f>
        <v>SC</v>
      </c>
      <c r="D201" s="555" t="s">
        <v>567</v>
      </c>
      <c r="E201" s="556" t="s">
        <v>22</v>
      </c>
      <c r="F201" s="556" t="s">
        <v>22</v>
      </c>
      <c r="G201" s="556" t="str">
        <f>IFERROR(IF(MID('Load Criteria'!X201,FIND("_",'Load Criteria'!X201,1)+1,1)=LEFT(Control!$D$23,1),"YES","-"),"-")</f>
        <v>-</v>
      </c>
      <c r="H201" s="549" t="str">
        <f>IF(INDEX('Weather Cases'!$G$10:$G$94,MATCH('Load Criteria'!X201,'Weather Cases'!$H$10:$H$94,0),1)="H","YES","")</f>
        <v>YES</v>
      </c>
      <c r="I201" s="557" t="s">
        <v>323</v>
      </c>
      <c r="J201" s="550">
        <v>50</v>
      </c>
      <c r="K201" s="508" t="s">
        <v>571</v>
      </c>
      <c r="L201" s="508" t="s">
        <v>40</v>
      </c>
      <c r="M201" s="508">
        <v>1</v>
      </c>
      <c r="N201" s="508">
        <v>2</v>
      </c>
      <c r="O201" s="508"/>
      <c r="P201" s="395">
        <v>3</v>
      </c>
      <c r="Q201" s="395">
        <v>7</v>
      </c>
      <c r="R201" s="395">
        <v>8</v>
      </c>
      <c r="S201" s="395"/>
      <c r="T201" s="395"/>
      <c r="U201" s="255" t="s">
        <v>568</v>
      </c>
      <c r="V201" s="551" t="s">
        <v>300</v>
      </c>
      <c r="W201" s="542" t="str">
        <f t="shared" si="51"/>
        <v>EI0050_8+TB12 NA+</v>
      </c>
      <c r="X201" s="552" t="str">
        <f>I201&amp;TEXT(J201,"0000")&amp;"_"&amp;LEFT(Control!$D$22,LEN(Control!$D$22)-2)</f>
        <v>EI0050_8</v>
      </c>
      <c r="Y201" s="552" t="s">
        <v>433</v>
      </c>
      <c r="Z201" s="552" t="str">
        <f>U201</f>
        <v>NA+</v>
      </c>
      <c r="AA201" s="552"/>
      <c r="AB201" s="552">
        <v>1</v>
      </c>
      <c r="AC201" s="552">
        <v>1</v>
      </c>
      <c r="AD201" s="552">
        <v>1</v>
      </c>
      <c r="AE201" s="552">
        <v>1</v>
      </c>
      <c r="AF201" s="552">
        <v>1</v>
      </c>
      <c r="AG201" s="542" t="s">
        <v>561</v>
      </c>
      <c r="AH201" s="552">
        <v>0</v>
      </c>
      <c r="AI201" s="552">
        <v>0</v>
      </c>
      <c r="AJ201" s="552">
        <v>1</v>
      </c>
      <c r="AK201" s="552">
        <v>1</v>
      </c>
      <c r="AL201" s="552">
        <v>1</v>
      </c>
      <c r="AM201" s="552">
        <v>0</v>
      </c>
      <c r="AN201" s="552">
        <v>0</v>
      </c>
      <c r="AO201" s="552">
        <v>1</v>
      </c>
      <c r="AP201" s="552">
        <v>1</v>
      </c>
      <c r="AQ201" s="552">
        <v>1</v>
      </c>
      <c r="AR201" s="552">
        <v>1</v>
      </c>
      <c r="AS201" s="552">
        <v>1</v>
      </c>
      <c r="AT201" s="552">
        <v>1</v>
      </c>
      <c r="AU201" s="552"/>
      <c r="AV201" s="553" t="str">
        <f>IF(H201="YES","'"&amp;INDEX('Structure Groups'!$C$12:$C$14,MATCH('Load Criteria'!$B$5,'Structure Groups'!$B$12:$B$14,0),1)&amp;"'","'All'")</f>
        <v>'GL Max 800m'</v>
      </c>
      <c r="AW201" s="552" t="s">
        <v>562</v>
      </c>
      <c r="AX201" s="552"/>
      <c r="AY201" s="552" t="str">
        <f t="shared" si="283"/>
        <v>Yes</v>
      </c>
      <c r="AZ201" s="389" t="str">
        <f t="shared" si="285"/>
        <v>1:1:Back</v>
      </c>
      <c r="BA201" s="554" t="s">
        <v>572</v>
      </c>
      <c r="BB201" s="391">
        <v>40</v>
      </c>
      <c r="BC201" s="579" t="str">
        <f>$M201+10&amp;":1:"&amp;"Ahead"</f>
        <v>11:1:Ahead</v>
      </c>
      <c r="BD201" s="554" t="s">
        <v>572</v>
      </c>
      <c r="BE201" s="580">
        <f>IF($L201="A",40,70)</f>
        <v>70</v>
      </c>
      <c r="BF201" s="389" t="str">
        <f t="shared" si="288"/>
        <v>1:1:Ahead</v>
      </c>
      <c r="BG201" s="554" t="str">
        <f t="shared" si="289"/>
        <v>% Wire Ice</v>
      </c>
      <c r="BH201" s="391">
        <v>70</v>
      </c>
      <c r="BI201" s="389" t="str">
        <f t="shared" si="290"/>
        <v>2:1:Back</v>
      </c>
      <c r="BJ201" s="554" t="s">
        <v>572</v>
      </c>
      <c r="BK201" s="391">
        <v>40</v>
      </c>
      <c r="BL201" s="579" t="str">
        <f>$N201+10&amp;":1:"&amp;"Ahead"</f>
        <v>12:1:Ahead</v>
      </c>
      <c r="BM201" s="554" t="s">
        <v>572</v>
      </c>
      <c r="BN201" s="580">
        <f>IF($L201="A",40,70)</f>
        <v>70</v>
      </c>
      <c r="BO201" s="389" t="str">
        <f t="shared" si="293"/>
        <v>2:1:Ahead</v>
      </c>
      <c r="BP201" s="554" t="str">
        <f t="shared" si="294"/>
        <v>% Wire Ice</v>
      </c>
      <c r="BQ201" s="391">
        <v>70</v>
      </c>
      <c r="BR201" s="389" t="str">
        <f t="shared" si="295"/>
        <v/>
      </c>
      <c r="BS201" s="554" t="str">
        <f t="shared" si="296"/>
        <v/>
      </c>
      <c r="BT201" s="391" t="str">
        <f t="shared" si="297"/>
        <v/>
      </c>
      <c r="BU201" s="389" t="str">
        <f t="shared" si="298"/>
        <v/>
      </c>
      <c r="BV201" s="554" t="str">
        <f t="shared" si="299"/>
        <v/>
      </c>
      <c r="BW201" s="391" t="str">
        <f t="shared" si="300"/>
        <v/>
      </c>
      <c r="BX201" s="389" t="str">
        <f t="shared" si="301"/>
        <v/>
      </c>
      <c r="BY201" s="554" t="str">
        <f t="shared" si="302"/>
        <v/>
      </c>
      <c r="BZ201" s="391" t="str">
        <f t="shared" si="303"/>
        <v/>
      </c>
      <c r="CA201" s="389" t="str">
        <f t="shared" si="304"/>
        <v>3:1:Back+Ahead</v>
      </c>
      <c r="CB201" s="554" t="str">
        <f t="shared" si="305"/>
        <v>% Wire Ice</v>
      </c>
      <c r="CC201" s="391">
        <f t="shared" si="306"/>
        <v>70</v>
      </c>
      <c r="CD201" s="389" t="str">
        <f t="shared" si="307"/>
        <v>13:1:Ahead</v>
      </c>
      <c r="CE201" s="554" t="str">
        <f t="shared" si="308"/>
        <v>% Wire Ice</v>
      </c>
      <c r="CF201" s="391">
        <f t="shared" si="309"/>
        <v>70</v>
      </c>
      <c r="CG201" s="389" t="str">
        <f t="shared" si="310"/>
        <v>7:1:Back+Ahead</v>
      </c>
      <c r="CH201" s="554" t="str">
        <f t="shared" si="311"/>
        <v>% Wire Ice</v>
      </c>
      <c r="CI201" s="391">
        <f t="shared" si="312"/>
        <v>70</v>
      </c>
      <c r="CJ201" s="389" t="str">
        <f t="shared" si="313"/>
        <v>17:1:Ahead</v>
      </c>
      <c r="CK201" s="554" t="str">
        <f t="shared" si="314"/>
        <v>% Wire Ice</v>
      </c>
      <c r="CL201" s="391">
        <f t="shared" si="315"/>
        <v>70</v>
      </c>
      <c r="CM201" s="389" t="str">
        <f t="shared" si="316"/>
        <v>8:1:Back+Ahead</v>
      </c>
      <c r="CN201" s="554" t="str">
        <f t="shared" si="317"/>
        <v>% Wire Ice</v>
      </c>
      <c r="CO201" s="391">
        <f t="shared" si="318"/>
        <v>70</v>
      </c>
      <c r="CP201" s="554" t="str">
        <f t="shared" si="319"/>
        <v>18:1:Ahead</v>
      </c>
      <c r="CQ201" s="554" t="str">
        <f t="shared" si="320"/>
        <v>% Wire Ice</v>
      </c>
      <c r="CR201" s="554">
        <f t="shared" si="321"/>
        <v>70</v>
      </c>
      <c r="CS201" s="554" t="str">
        <f t="shared" si="322"/>
        <v/>
      </c>
      <c r="CT201" s="554" t="str">
        <f t="shared" si="323"/>
        <v/>
      </c>
      <c r="CU201" s="554" t="str">
        <f t="shared" si="324"/>
        <v/>
      </c>
      <c r="CV201" s="554" t="str">
        <f t="shared" si="325"/>
        <v/>
      </c>
      <c r="CW201" s="554" t="str">
        <f t="shared" si="326"/>
        <v/>
      </c>
      <c r="CX201" s="554" t="str">
        <f t="shared" si="327"/>
        <v/>
      </c>
      <c r="CY201" s="554" t="str">
        <f t="shared" si="328"/>
        <v/>
      </c>
      <c r="CZ201" s="554" t="str">
        <f t="shared" si="329"/>
        <v/>
      </c>
      <c r="DA201" s="554" t="str">
        <f t="shared" si="330"/>
        <v/>
      </c>
      <c r="DB201" s="554" t="str">
        <f t="shared" si="331"/>
        <v/>
      </c>
      <c r="DC201" s="554" t="str">
        <f t="shared" si="332"/>
        <v/>
      </c>
      <c r="DD201" s="554" t="str">
        <f t="shared" si="333"/>
        <v/>
      </c>
      <c r="DE201" s="534"/>
      <c r="DF201" s="534"/>
      <c r="DG201" s="534"/>
    </row>
    <row r="202" spans="1:111" ht="15" hidden="1" x14ac:dyDescent="0.25">
      <c r="A202" s="549">
        <f>IFERROR(IF(INDEX('Weather Cases'!$E$10:$E$94,MATCH('Load Criteria'!X202,'Weather Cases'!$H$10:$H$94,0),1)=1,1,"-"),"-")</f>
        <v>1</v>
      </c>
      <c r="B202" s="555" t="s">
        <v>558</v>
      </c>
      <c r="C202" s="556" t="str">
        <f>IF('Weather Cases'!$E$42=0,"","SC")</f>
        <v>SC</v>
      </c>
      <c r="D202" s="555" t="s">
        <v>567</v>
      </c>
      <c r="E202" s="556" t="s">
        <v>22</v>
      </c>
      <c r="F202" s="556" t="s">
        <v>22</v>
      </c>
      <c r="G202" s="556" t="str">
        <f>IFERROR(IF(MID('Load Criteria'!X202,FIND("_",'Load Criteria'!X202,1)+1,1)=LEFT(Control!$D$23,1),"YES","-"),"-")</f>
        <v>-</v>
      </c>
      <c r="H202" s="549" t="str">
        <f>IF(INDEX('Weather Cases'!$G$10:$G$94,MATCH('Load Criteria'!X202,'Weather Cases'!$H$10:$H$94,0),1)="H","YES","")</f>
        <v>YES</v>
      </c>
      <c r="I202" s="557" t="s">
        <v>323</v>
      </c>
      <c r="J202" s="550">
        <v>50</v>
      </c>
      <c r="K202" s="508" t="s">
        <v>571</v>
      </c>
      <c r="L202" s="508" t="s">
        <v>24</v>
      </c>
      <c r="M202" s="508">
        <v>2</v>
      </c>
      <c r="N202" s="508">
        <v>3</v>
      </c>
      <c r="O202" s="508"/>
      <c r="P202" s="395">
        <v>1</v>
      </c>
      <c r="Q202" s="395">
        <v>7</v>
      </c>
      <c r="R202" s="395">
        <v>8</v>
      </c>
      <c r="S202" s="395"/>
      <c r="T202" s="395"/>
      <c r="U202" s="255" t="s">
        <v>568</v>
      </c>
      <c r="V202" s="551" t="s">
        <v>300</v>
      </c>
      <c r="W202" s="542" t="str">
        <f t="shared" si="51"/>
        <v>EI0050_8+TA23 NA+</v>
      </c>
      <c r="X202" s="552" t="str">
        <f>I202&amp;TEXT(J202,"0000")&amp;"_"&amp;LEFT(Control!$D$22,LEN(Control!$D$22)-2)</f>
        <v>EI0050_8</v>
      </c>
      <c r="Y202" s="552" t="s">
        <v>433</v>
      </c>
      <c r="Z202" s="552" t="str">
        <f t="shared" ref="Z202:Z207" si="334">U202</f>
        <v>NA+</v>
      </c>
      <c r="AA202" s="552"/>
      <c r="AB202" s="552">
        <v>1</v>
      </c>
      <c r="AC202" s="552">
        <v>1</v>
      </c>
      <c r="AD202" s="552">
        <v>1</v>
      </c>
      <c r="AE202" s="552">
        <v>1</v>
      </c>
      <c r="AF202" s="552">
        <v>1</v>
      </c>
      <c r="AG202" s="542" t="s">
        <v>561</v>
      </c>
      <c r="AH202" s="552">
        <v>0</v>
      </c>
      <c r="AI202" s="552">
        <v>0</v>
      </c>
      <c r="AJ202" s="552">
        <v>1</v>
      </c>
      <c r="AK202" s="552">
        <v>1</v>
      </c>
      <c r="AL202" s="552">
        <v>1</v>
      </c>
      <c r="AM202" s="552">
        <v>0</v>
      </c>
      <c r="AN202" s="552">
        <v>0</v>
      </c>
      <c r="AO202" s="552">
        <v>1</v>
      </c>
      <c r="AP202" s="552">
        <v>1</v>
      </c>
      <c r="AQ202" s="552">
        <v>1</v>
      </c>
      <c r="AR202" s="552">
        <v>1</v>
      </c>
      <c r="AS202" s="552">
        <v>1</v>
      </c>
      <c r="AT202" s="552">
        <v>1</v>
      </c>
      <c r="AU202" s="552"/>
      <c r="AV202" s="553" t="str">
        <f>IF(H202="YES","'"&amp;INDEX('Structure Groups'!$C$12:$C$14,MATCH('Load Criteria'!$B$5,'Structure Groups'!$B$12:$B$14,0),1)&amp;"'","'All'")</f>
        <v>'GL Max 800m'</v>
      </c>
      <c r="AW202" s="552" t="s">
        <v>562</v>
      </c>
      <c r="AX202" s="552"/>
      <c r="AY202" s="552" t="str">
        <f t="shared" si="283"/>
        <v>Yes</v>
      </c>
      <c r="AZ202" s="389" t="str">
        <f t="shared" si="285"/>
        <v>2:1:Ahead</v>
      </c>
      <c r="BA202" s="554" t="s">
        <v>572</v>
      </c>
      <c r="BB202" s="391">
        <v>40</v>
      </c>
      <c r="BC202" s="579" t="str">
        <f t="shared" ref="BC202:BC203" si="335">$M202+10&amp;":1:"&amp;"Ahead"</f>
        <v>12:1:Ahead</v>
      </c>
      <c r="BD202" s="554" t="s">
        <v>572</v>
      </c>
      <c r="BE202" s="580">
        <f t="shared" ref="BE202:BE207" si="336">IF($L202="A",40,70)</f>
        <v>40</v>
      </c>
      <c r="BF202" s="389" t="str">
        <f t="shared" si="288"/>
        <v>2:1:Back</v>
      </c>
      <c r="BG202" s="554" t="str">
        <f t="shared" si="289"/>
        <v>% Wire Ice</v>
      </c>
      <c r="BH202" s="391">
        <v>70</v>
      </c>
      <c r="BI202" s="389" t="str">
        <f t="shared" si="290"/>
        <v>3:1:Ahead</v>
      </c>
      <c r="BJ202" s="554" t="s">
        <v>572</v>
      </c>
      <c r="BK202" s="391">
        <v>40</v>
      </c>
      <c r="BL202" s="579" t="str">
        <f t="shared" ref="BL202:BL203" si="337">$N202+10&amp;":1:"&amp;"Ahead"</f>
        <v>13:1:Ahead</v>
      </c>
      <c r="BM202" s="554" t="s">
        <v>572</v>
      </c>
      <c r="BN202" s="580">
        <f t="shared" ref="BN202:BN207" si="338">IF($L202="A",40,70)</f>
        <v>40</v>
      </c>
      <c r="BO202" s="389" t="str">
        <f t="shared" si="293"/>
        <v>3:1:Back</v>
      </c>
      <c r="BP202" s="554" t="str">
        <f t="shared" si="294"/>
        <v>% Wire Ice</v>
      </c>
      <c r="BQ202" s="391">
        <v>70</v>
      </c>
      <c r="BR202" s="389" t="str">
        <f t="shared" si="295"/>
        <v/>
      </c>
      <c r="BS202" s="554" t="str">
        <f t="shared" si="296"/>
        <v/>
      </c>
      <c r="BT202" s="391" t="str">
        <f t="shared" si="297"/>
        <v/>
      </c>
      <c r="BU202" s="389" t="str">
        <f t="shared" si="298"/>
        <v/>
      </c>
      <c r="BV202" s="554" t="str">
        <f t="shared" si="299"/>
        <v/>
      </c>
      <c r="BW202" s="391" t="str">
        <f t="shared" si="300"/>
        <v/>
      </c>
      <c r="BX202" s="389" t="str">
        <f t="shared" si="301"/>
        <v/>
      </c>
      <c r="BY202" s="554" t="str">
        <f t="shared" si="302"/>
        <v/>
      </c>
      <c r="BZ202" s="391" t="str">
        <f t="shared" si="303"/>
        <v/>
      </c>
      <c r="CA202" s="389" t="str">
        <f t="shared" si="304"/>
        <v>1:1:Back+Ahead</v>
      </c>
      <c r="CB202" s="554" t="str">
        <f t="shared" si="305"/>
        <v>% Wire Ice</v>
      </c>
      <c r="CC202" s="391">
        <f t="shared" si="306"/>
        <v>70</v>
      </c>
      <c r="CD202" s="389" t="str">
        <f t="shared" si="307"/>
        <v>11:1:Ahead</v>
      </c>
      <c r="CE202" s="554" t="str">
        <f t="shared" si="308"/>
        <v>% Wire Ice</v>
      </c>
      <c r="CF202" s="391">
        <f t="shared" si="309"/>
        <v>70</v>
      </c>
      <c r="CG202" s="389" t="str">
        <f t="shared" si="310"/>
        <v>7:1:Back+Ahead</v>
      </c>
      <c r="CH202" s="554" t="str">
        <f t="shared" si="311"/>
        <v>% Wire Ice</v>
      </c>
      <c r="CI202" s="391">
        <f t="shared" si="312"/>
        <v>70</v>
      </c>
      <c r="CJ202" s="389" t="str">
        <f t="shared" si="313"/>
        <v>17:1:Ahead</v>
      </c>
      <c r="CK202" s="554" t="str">
        <f t="shared" si="314"/>
        <v>% Wire Ice</v>
      </c>
      <c r="CL202" s="391">
        <f t="shared" si="315"/>
        <v>70</v>
      </c>
      <c r="CM202" s="389" t="str">
        <f t="shared" si="316"/>
        <v>8:1:Back+Ahead</v>
      </c>
      <c r="CN202" s="554" t="str">
        <f t="shared" si="317"/>
        <v>% Wire Ice</v>
      </c>
      <c r="CO202" s="391">
        <f t="shared" si="318"/>
        <v>70</v>
      </c>
      <c r="CP202" s="554" t="str">
        <f t="shared" si="319"/>
        <v>18:1:Ahead</v>
      </c>
      <c r="CQ202" s="554" t="str">
        <f t="shared" si="320"/>
        <v>% Wire Ice</v>
      </c>
      <c r="CR202" s="554">
        <f t="shared" si="321"/>
        <v>70</v>
      </c>
      <c r="CS202" s="554" t="str">
        <f t="shared" si="322"/>
        <v/>
      </c>
      <c r="CT202" s="554" t="str">
        <f t="shared" si="323"/>
        <v/>
      </c>
      <c r="CU202" s="554" t="str">
        <f t="shared" si="324"/>
        <v/>
      </c>
      <c r="CV202" s="554" t="str">
        <f t="shared" si="325"/>
        <v/>
      </c>
      <c r="CW202" s="554" t="str">
        <f t="shared" si="326"/>
        <v/>
      </c>
      <c r="CX202" s="554" t="str">
        <f t="shared" si="327"/>
        <v/>
      </c>
      <c r="CY202" s="554" t="str">
        <f t="shared" si="328"/>
        <v/>
      </c>
      <c r="CZ202" s="554" t="str">
        <f t="shared" si="329"/>
        <v/>
      </c>
      <c r="DA202" s="554" t="str">
        <f t="shared" si="330"/>
        <v/>
      </c>
      <c r="DB202" s="554" t="str">
        <f t="shared" si="331"/>
        <v/>
      </c>
      <c r="DC202" s="554" t="str">
        <f t="shared" si="332"/>
        <v/>
      </c>
      <c r="DD202" s="554" t="str">
        <f t="shared" si="333"/>
        <v/>
      </c>
      <c r="DE202" s="534"/>
      <c r="DF202" s="534"/>
      <c r="DG202" s="534"/>
    </row>
    <row r="203" spans="1:111" ht="15" hidden="1" x14ac:dyDescent="0.25">
      <c r="A203" s="549">
        <f>IFERROR(IF(INDEX('Weather Cases'!$E$10:$E$94,MATCH('Load Criteria'!X203,'Weather Cases'!$H$10:$H$94,0),1)=1,1,"-"),"-")</f>
        <v>1</v>
      </c>
      <c r="B203" s="555" t="s">
        <v>558</v>
      </c>
      <c r="C203" s="556" t="str">
        <f>IF('Weather Cases'!$E$42=0,"","SC")</f>
        <v>SC</v>
      </c>
      <c r="D203" s="555" t="s">
        <v>567</v>
      </c>
      <c r="E203" s="556" t="s">
        <v>22</v>
      </c>
      <c r="F203" s="556" t="s">
        <v>22</v>
      </c>
      <c r="G203" s="556" t="str">
        <f>IFERROR(IF(MID('Load Criteria'!X203,FIND("_",'Load Criteria'!X203,1)+1,1)=LEFT(Control!$D$23,1),"YES","-"),"-")</f>
        <v>-</v>
      </c>
      <c r="H203" s="549" t="str">
        <f>IF(INDEX('Weather Cases'!$G$10:$G$94,MATCH('Load Criteria'!X203,'Weather Cases'!$H$10:$H$94,0),1)="H","YES","")</f>
        <v>YES</v>
      </c>
      <c r="I203" s="557" t="s">
        <v>323</v>
      </c>
      <c r="J203" s="550">
        <v>50</v>
      </c>
      <c r="K203" s="508" t="s">
        <v>571</v>
      </c>
      <c r="L203" s="508" t="s">
        <v>40</v>
      </c>
      <c r="M203" s="508">
        <v>2</v>
      </c>
      <c r="N203" s="508">
        <v>3</v>
      </c>
      <c r="O203" s="508"/>
      <c r="P203" s="395">
        <v>1</v>
      </c>
      <c r="Q203" s="395">
        <v>7</v>
      </c>
      <c r="R203" s="395">
        <v>8</v>
      </c>
      <c r="S203" s="395"/>
      <c r="T203" s="395"/>
      <c r="U203" s="255" t="s">
        <v>568</v>
      </c>
      <c r="V203" s="551" t="s">
        <v>300</v>
      </c>
      <c r="W203" s="542" t="str">
        <f t="shared" si="51"/>
        <v>EI0050_8+TB23 NA+</v>
      </c>
      <c r="X203" s="552" t="str">
        <f>I203&amp;TEXT(J203,"0000")&amp;"_"&amp;LEFT(Control!$D$22,LEN(Control!$D$22)-2)</f>
        <v>EI0050_8</v>
      </c>
      <c r="Y203" s="552" t="s">
        <v>433</v>
      </c>
      <c r="Z203" s="552" t="str">
        <f t="shared" si="334"/>
        <v>NA+</v>
      </c>
      <c r="AA203" s="552"/>
      <c r="AB203" s="552">
        <v>1</v>
      </c>
      <c r="AC203" s="552">
        <v>1</v>
      </c>
      <c r="AD203" s="552">
        <v>1</v>
      </c>
      <c r="AE203" s="552">
        <v>1</v>
      </c>
      <c r="AF203" s="552">
        <v>1</v>
      </c>
      <c r="AG203" s="542" t="s">
        <v>561</v>
      </c>
      <c r="AH203" s="552">
        <v>0</v>
      </c>
      <c r="AI203" s="552">
        <v>0</v>
      </c>
      <c r="AJ203" s="552">
        <v>1</v>
      </c>
      <c r="AK203" s="552">
        <v>1</v>
      </c>
      <c r="AL203" s="552">
        <v>1</v>
      </c>
      <c r="AM203" s="552">
        <v>0</v>
      </c>
      <c r="AN203" s="552">
        <v>0</v>
      </c>
      <c r="AO203" s="552">
        <v>1</v>
      </c>
      <c r="AP203" s="552">
        <v>1</v>
      </c>
      <c r="AQ203" s="552">
        <v>1</v>
      </c>
      <c r="AR203" s="552">
        <v>1</v>
      </c>
      <c r="AS203" s="552">
        <v>1</v>
      </c>
      <c r="AT203" s="552">
        <v>1</v>
      </c>
      <c r="AU203" s="552"/>
      <c r="AV203" s="553" t="str">
        <f>IF(H203="YES","'"&amp;INDEX('Structure Groups'!$C$12:$C$14,MATCH('Load Criteria'!$B$5,'Structure Groups'!$B$12:$B$14,0),1)&amp;"'","'All'")</f>
        <v>'GL Max 800m'</v>
      </c>
      <c r="AW203" s="552" t="s">
        <v>562</v>
      </c>
      <c r="AX203" s="552"/>
      <c r="AY203" s="552" t="str">
        <f t="shared" si="283"/>
        <v>Yes</v>
      </c>
      <c r="AZ203" s="389" t="str">
        <f t="shared" si="285"/>
        <v>2:1:Back</v>
      </c>
      <c r="BA203" s="554" t="s">
        <v>572</v>
      </c>
      <c r="BB203" s="391">
        <v>40</v>
      </c>
      <c r="BC203" s="579" t="str">
        <f t="shared" si="335"/>
        <v>12:1:Ahead</v>
      </c>
      <c r="BD203" s="554" t="s">
        <v>572</v>
      </c>
      <c r="BE203" s="580">
        <f t="shared" si="336"/>
        <v>70</v>
      </c>
      <c r="BF203" s="389" t="str">
        <f t="shared" si="288"/>
        <v>2:1:Ahead</v>
      </c>
      <c r="BG203" s="554" t="str">
        <f t="shared" si="289"/>
        <v>% Wire Ice</v>
      </c>
      <c r="BH203" s="391">
        <v>70</v>
      </c>
      <c r="BI203" s="389" t="str">
        <f t="shared" si="290"/>
        <v>3:1:Back</v>
      </c>
      <c r="BJ203" s="554" t="s">
        <v>572</v>
      </c>
      <c r="BK203" s="391">
        <v>40</v>
      </c>
      <c r="BL203" s="579" t="str">
        <f t="shared" si="337"/>
        <v>13:1:Ahead</v>
      </c>
      <c r="BM203" s="554" t="s">
        <v>572</v>
      </c>
      <c r="BN203" s="580">
        <f t="shared" si="338"/>
        <v>70</v>
      </c>
      <c r="BO203" s="389" t="str">
        <f t="shared" si="293"/>
        <v>3:1:Ahead</v>
      </c>
      <c r="BP203" s="554" t="str">
        <f t="shared" si="294"/>
        <v>% Wire Ice</v>
      </c>
      <c r="BQ203" s="391">
        <v>70</v>
      </c>
      <c r="BR203" s="389" t="str">
        <f t="shared" si="295"/>
        <v/>
      </c>
      <c r="BS203" s="554" t="str">
        <f t="shared" si="296"/>
        <v/>
      </c>
      <c r="BT203" s="391" t="str">
        <f t="shared" si="297"/>
        <v/>
      </c>
      <c r="BU203" s="389" t="str">
        <f t="shared" si="298"/>
        <v/>
      </c>
      <c r="BV203" s="554" t="str">
        <f t="shared" si="299"/>
        <v/>
      </c>
      <c r="BW203" s="391" t="str">
        <f t="shared" si="300"/>
        <v/>
      </c>
      <c r="BX203" s="389" t="str">
        <f t="shared" si="301"/>
        <v/>
      </c>
      <c r="BY203" s="554" t="str">
        <f t="shared" si="302"/>
        <v/>
      </c>
      <c r="BZ203" s="391" t="str">
        <f t="shared" si="303"/>
        <v/>
      </c>
      <c r="CA203" s="389" t="str">
        <f t="shared" si="304"/>
        <v>1:1:Back+Ahead</v>
      </c>
      <c r="CB203" s="554" t="str">
        <f t="shared" si="305"/>
        <v>% Wire Ice</v>
      </c>
      <c r="CC203" s="391">
        <f t="shared" si="306"/>
        <v>70</v>
      </c>
      <c r="CD203" s="389" t="str">
        <f t="shared" si="307"/>
        <v>11:1:Ahead</v>
      </c>
      <c r="CE203" s="554" t="str">
        <f t="shared" si="308"/>
        <v>% Wire Ice</v>
      </c>
      <c r="CF203" s="391">
        <f t="shared" si="309"/>
        <v>70</v>
      </c>
      <c r="CG203" s="389" t="str">
        <f t="shared" si="310"/>
        <v>7:1:Back+Ahead</v>
      </c>
      <c r="CH203" s="554" t="str">
        <f t="shared" si="311"/>
        <v>% Wire Ice</v>
      </c>
      <c r="CI203" s="391">
        <f t="shared" si="312"/>
        <v>70</v>
      </c>
      <c r="CJ203" s="389" t="str">
        <f t="shared" si="313"/>
        <v>17:1:Ahead</v>
      </c>
      <c r="CK203" s="554" t="str">
        <f t="shared" si="314"/>
        <v>% Wire Ice</v>
      </c>
      <c r="CL203" s="391">
        <f t="shared" si="315"/>
        <v>70</v>
      </c>
      <c r="CM203" s="389" t="str">
        <f t="shared" si="316"/>
        <v>8:1:Back+Ahead</v>
      </c>
      <c r="CN203" s="554" t="str">
        <f t="shared" si="317"/>
        <v>% Wire Ice</v>
      </c>
      <c r="CO203" s="391">
        <f t="shared" si="318"/>
        <v>70</v>
      </c>
      <c r="CP203" s="554" t="str">
        <f t="shared" si="319"/>
        <v>18:1:Ahead</v>
      </c>
      <c r="CQ203" s="554" t="str">
        <f t="shared" si="320"/>
        <v>% Wire Ice</v>
      </c>
      <c r="CR203" s="554">
        <f t="shared" si="321"/>
        <v>70</v>
      </c>
      <c r="CS203" s="554" t="str">
        <f t="shared" si="322"/>
        <v/>
      </c>
      <c r="CT203" s="554" t="str">
        <f t="shared" si="323"/>
        <v/>
      </c>
      <c r="CU203" s="554" t="str">
        <f t="shared" si="324"/>
        <v/>
      </c>
      <c r="CV203" s="554" t="str">
        <f t="shared" si="325"/>
        <v/>
      </c>
      <c r="CW203" s="554" t="str">
        <f t="shared" si="326"/>
        <v/>
      </c>
      <c r="CX203" s="554" t="str">
        <f t="shared" si="327"/>
        <v/>
      </c>
      <c r="CY203" s="554" t="str">
        <f t="shared" si="328"/>
        <v/>
      </c>
      <c r="CZ203" s="554" t="str">
        <f t="shared" si="329"/>
        <v/>
      </c>
      <c r="DA203" s="554" t="str">
        <f t="shared" si="330"/>
        <v/>
      </c>
      <c r="DB203" s="554" t="str">
        <f t="shared" si="331"/>
        <v/>
      </c>
      <c r="DC203" s="554" t="str">
        <f t="shared" si="332"/>
        <v/>
      </c>
      <c r="DD203" s="554" t="str">
        <f t="shared" si="333"/>
        <v/>
      </c>
      <c r="DE203" s="534"/>
      <c r="DF203" s="534"/>
      <c r="DG203" s="534"/>
    </row>
    <row r="204" spans="1:111" ht="15" x14ac:dyDescent="0.25">
      <c r="A204" s="549">
        <f>IFERROR(IF(INDEX('Weather Cases'!$E$10:$E$94,MATCH('Load Criteria'!X204,'Weather Cases'!$H$10:$H$94,0),1)=1,1,"-"),"-")</f>
        <v>1</v>
      </c>
      <c r="B204" s="555" t="s">
        <v>558</v>
      </c>
      <c r="C204" s="556" t="str">
        <f>IF('Weather Cases'!$E$42=0,"","DC")</f>
        <v>DC</v>
      </c>
      <c r="D204" s="555" t="s">
        <v>567</v>
      </c>
      <c r="E204" s="556" t="s">
        <v>22</v>
      </c>
      <c r="F204" s="556" t="s">
        <v>22</v>
      </c>
      <c r="G204" s="556" t="str">
        <f>IFERROR(IF(MID('Load Criteria'!X204,FIND("_",'Load Criteria'!X204,1)+1,1)=LEFT(Control!$D$23,1),"YES","-"),"-")</f>
        <v>-</v>
      </c>
      <c r="H204" s="549" t="str">
        <f>IF(INDEX('Weather Cases'!$G$10:$G$94,MATCH('Load Criteria'!X204,'Weather Cases'!$H$10:$H$94,0),1)="H","YES","")</f>
        <v>YES</v>
      </c>
      <c r="I204" s="557" t="s">
        <v>323</v>
      </c>
      <c r="J204" s="550">
        <v>50</v>
      </c>
      <c r="K204" s="508" t="s">
        <v>571</v>
      </c>
      <c r="L204" s="508" t="s">
        <v>24</v>
      </c>
      <c r="M204" s="508">
        <v>1</v>
      </c>
      <c r="N204" s="508">
        <v>2</v>
      </c>
      <c r="O204" s="508">
        <v>3</v>
      </c>
      <c r="P204" s="395">
        <v>4</v>
      </c>
      <c r="Q204" s="395">
        <v>5</v>
      </c>
      <c r="R204" s="395">
        <v>6</v>
      </c>
      <c r="S204" s="395">
        <v>7</v>
      </c>
      <c r="T204" s="395">
        <v>8</v>
      </c>
      <c r="U204" s="255" t="s">
        <v>568</v>
      </c>
      <c r="V204" s="551" t="s">
        <v>300</v>
      </c>
      <c r="W204" s="542" t="str">
        <f t="shared" si="51"/>
        <v>EI0050_8+TA123 NA+</v>
      </c>
      <c r="X204" s="552" t="str">
        <f>I204&amp;TEXT(J204,"0000")&amp;"_"&amp;LEFT(Control!$D$22,LEN(Control!$D$22)-2)</f>
        <v>EI0050_8</v>
      </c>
      <c r="Y204" s="552" t="s">
        <v>433</v>
      </c>
      <c r="Z204" s="552" t="str">
        <f t="shared" si="334"/>
        <v>NA+</v>
      </c>
      <c r="AA204" s="552"/>
      <c r="AB204" s="552">
        <v>1</v>
      </c>
      <c r="AC204" s="552">
        <v>1</v>
      </c>
      <c r="AD204" s="552">
        <v>1</v>
      </c>
      <c r="AE204" s="552">
        <v>1</v>
      </c>
      <c r="AF204" s="552">
        <v>1</v>
      </c>
      <c r="AG204" s="542" t="s">
        <v>561</v>
      </c>
      <c r="AH204" s="552">
        <v>0</v>
      </c>
      <c r="AI204" s="552">
        <v>0</v>
      </c>
      <c r="AJ204" s="552">
        <v>1</v>
      </c>
      <c r="AK204" s="552">
        <v>1</v>
      </c>
      <c r="AL204" s="552">
        <v>1</v>
      </c>
      <c r="AM204" s="552">
        <v>0</v>
      </c>
      <c r="AN204" s="552">
        <v>0</v>
      </c>
      <c r="AO204" s="552">
        <v>1</v>
      </c>
      <c r="AP204" s="552">
        <v>1</v>
      </c>
      <c r="AQ204" s="552">
        <v>1</v>
      </c>
      <c r="AR204" s="552">
        <v>1</v>
      </c>
      <c r="AS204" s="552">
        <v>1</v>
      </c>
      <c r="AT204" s="552">
        <v>1</v>
      </c>
      <c r="AU204" s="552">
        <v>1</v>
      </c>
      <c r="AV204" s="553" t="str">
        <f>IF(H204="YES","'"&amp;INDEX('Structure Groups'!$C$12:$C$14,MATCH('Load Criteria'!$B$5,'Structure Groups'!$B$12:$B$14,0),1)&amp;"'","'All'")</f>
        <v>'GL Max 800m'</v>
      </c>
      <c r="AW204" s="552" t="s">
        <v>562</v>
      </c>
      <c r="AX204" s="552"/>
      <c r="AY204" s="552" t="str">
        <f t="shared" si="283"/>
        <v>Yes</v>
      </c>
      <c r="AZ204" s="389" t="str">
        <f t="shared" si="285"/>
        <v>1:1:Ahead</v>
      </c>
      <c r="BA204" s="554" t="s">
        <v>572</v>
      </c>
      <c r="BB204" s="391">
        <v>40</v>
      </c>
      <c r="BC204" s="579" t="str">
        <f t="shared" si="286"/>
        <v>11:1:Ahead</v>
      </c>
      <c r="BD204" s="554" t="s">
        <v>572</v>
      </c>
      <c r="BE204" s="580">
        <f t="shared" si="336"/>
        <v>40</v>
      </c>
      <c r="BF204" s="389" t="str">
        <f t="shared" si="288"/>
        <v>1:1:Back</v>
      </c>
      <c r="BG204" s="554" t="str">
        <f t="shared" si="289"/>
        <v>% Wire Ice</v>
      </c>
      <c r="BH204" s="391">
        <v>70</v>
      </c>
      <c r="BI204" s="389" t="str">
        <f t="shared" si="290"/>
        <v>2:1:Ahead</v>
      </c>
      <c r="BJ204" s="554" t="s">
        <v>572</v>
      </c>
      <c r="BK204" s="391">
        <v>40</v>
      </c>
      <c r="BL204" s="579" t="str">
        <f>$N204+10&amp;":1:"&amp;"Ahead"</f>
        <v>12:1:Ahead</v>
      </c>
      <c r="BM204" s="554" t="s">
        <v>572</v>
      </c>
      <c r="BN204" s="580">
        <f t="shared" si="338"/>
        <v>40</v>
      </c>
      <c r="BO204" s="389" t="str">
        <f t="shared" si="293"/>
        <v>2:1:Back</v>
      </c>
      <c r="BP204" s="554" t="str">
        <f t="shared" si="294"/>
        <v>% Wire Ice</v>
      </c>
      <c r="BQ204" s="391">
        <v>70</v>
      </c>
      <c r="BR204" s="389" t="str">
        <f t="shared" si="295"/>
        <v>3:1:Ahead</v>
      </c>
      <c r="BS204" s="554" t="str">
        <f t="shared" si="296"/>
        <v>% Wire Ice</v>
      </c>
      <c r="BT204" s="391">
        <f t="shared" si="297"/>
        <v>40</v>
      </c>
      <c r="BU204" s="579" t="str">
        <f>$O204+10&amp;":1:"&amp;"Ahead"</f>
        <v>13:1:Ahead</v>
      </c>
      <c r="BV204" s="554" t="str">
        <f t="shared" si="299"/>
        <v>% Wire Ice</v>
      </c>
      <c r="BW204" s="580">
        <f t="shared" ref="BW204:BW207" si="339">IF($L204="A",40,70)</f>
        <v>40</v>
      </c>
      <c r="BX204" s="389" t="str">
        <f t="shared" si="301"/>
        <v>3:1:Back</v>
      </c>
      <c r="BY204" s="554" t="str">
        <f t="shared" si="302"/>
        <v>% Wire Ice</v>
      </c>
      <c r="BZ204" s="391">
        <f t="shared" si="303"/>
        <v>70</v>
      </c>
      <c r="CA204" s="389" t="str">
        <f t="shared" si="304"/>
        <v>4:1:Back+Ahead</v>
      </c>
      <c r="CB204" s="554" t="str">
        <f t="shared" si="305"/>
        <v>% Wire Ice</v>
      </c>
      <c r="CC204" s="391">
        <f t="shared" si="306"/>
        <v>70</v>
      </c>
      <c r="CD204" s="389" t="str">
        <f t="shared" si="307"/>
        <v>14:1:Ahead</v>
      </c>
      <c r="CE204" s="554" t="str">
        <f t="shared" si="308"/>
        <v>% Wire Ice</v>
      </c>
      <c r="CF204" s="391">
        <f t="shared" si="309"/>
        <v>70</v>
      </c>
      <c r="CG204" s="389" t="str">
        <f t="shared" si="310"/>
        <v>5:1:Back+Ahead</v>
      </c>
      <c r="CH204" s="554" t="str">
        <f t="shared" si="311"/>
        <v>% Wire Ice</v>
      </c>
      <c r="CI204" s="391">
        <f t="shared" si="312"/>
        <v>70</v>
      </c>
      <c r="CJ204" s="389" t="str">
        <f t="shared" si="313"/>
        <v>15:1:Ahead</v>
      </c>
      <c r="CK204" s="554" t="str">
        <f t="shared" si="314"/>
        <v>% Wire Ice</v>
      </c>
      <c r="CL204" s="391">
        <f t="shared" si="315"/>
        <v>70</v>
      </c>
      <c r="CM204" s="389" t="str">
        <f t="shared" si="316"/>
        <v>6:1:Back+Ahead</v>
      </c>
      <c r="CN204" s="554" t="str">
        <f t="shared" si="317"/>
        <v>% Wire Ice</v>
      </c>
      <c r="CO204" s="391">
        <f t="shared" si="318"/>
        <v>70</v>
      </c>
      <c r="CP204" s="554" t="str">
        <f t="shared" si="319"/>
        <v>16:1:Ahead</v>
      </c>
      <c r="CQ204" s="554" t="str">
        <f t="shared" si="320"/>
        <v>% Wire Ice</v>
      </c>
      <c r="CR204" s="554">
        <f t="shared" si="321"/>
        <v>70</v>
      </c>
      <c r="CS204" s="554" t="str">
        <f t="shared" si="322"/>
        <v>7:1:Back+Ahead</v>
      </c>
      <c r="CT204" s="554" t="str">
        <f t="shared" si="323"/>
        <v>% Wire Ice</v>
      </c>
      <c r="CU204" s="554">
        <f t="shared" si="324"/>
        <v>70</v>
      </c>
      <c r="CV204" s="554" t="str">
        <f t="shared" si="325"/>
        <v>17:1:Ahead</v>
      </c>
      <c r="CW204" s="554" t="str">
        <f t="shared" si="326"/>
        <v>% Wire Ice</v>
      </c>
      <c r="CX204" s="554">
        <f t="shared" si="327"/>
        <v>70</v>
      </c>
      <c r="CY204" s="554" t="str">
        <f t="shared" si="328"/>
        <v>8:1:Back+Ahead</v>
      </c>
      <c r="CZ204" s="554" t="str">
        <f t="shared" si="329"/>
        <v>% Wire Ice</v>
      </c>
      <c r="DA204" s="554">
        <f t="shared" si="330"/>
        <v>70</v>
      </c>
      <c r="DB204" s="554" t="str">
        <f t="shared" si="331"/>
        <v>18:1:Ahead</v>
      </c>
      <c r="DC204" s="554" t="str">
        <f t="shared" si="332"/>
        <v>% Wire Ice</v>
      </c>
      <c r="DD204" s="554">
        <f t="shared" si="333"/>
        <v>70</v>
      </c>
      <c r="DE204" s="534"/>
      <c r="DF204" s="534"/>
      <c r="DG204" s="534"/>
    </row>
    <row r="205" spans="1:111" ht="15" x14ac:dyDescent="0.25">
      <c r="A205" s="549">
        <f>IFERROR(IF(INDEX('Weather Cases'!$E$10:$E$94,MATCH('Load Criteria'!X205,'Weather Cases'!$H$10:$H$94,0),1)=1,1,"-"),"-")</f>
        <v>1</v>
      </c>
      <c r="B205" s="555" t="s">
        <v>558</v>
      </c>
      <c r="C205" s="556" t="str">
        <f>IF('Weather Cases'!$E$42=0,"","DC")</f>
        <v>DC</v>
      </c>
      <c r="D205" s="555" t="s">
        <v>567</v>
      </c>
      <c r="E205" s="556" t="s">
        <v>22</v>
      </c>
      <c r="F205" s="556" t="s">
        <v>22</v>
      </c>
      <c r="G205" s="556" t="str">
        <f>IFERROR(IF(MID('Load Criteria'!X205,FIND("_",'Load Criteria'!X205,1)+1,1)=LEFT(Control!$D$23,1),"YES","-"),"-")</f>
        <v>-</v>
      </c>
      <c r="H205" s="549" t="str">
        <f>IF(INDEX('Weather Cases'!$G$10:$G$94,MATCH('Load Criteria'!X205,'Weather Cases'!$H$10:$H$94,0),1)="H","YES","")</f>
        <v>YES</v>
      </c>
      <c r="I205" s="557" t="s">
        <v>323</v>
      </c>
      <c r="J205" s="550">
        <v>50</v>
      </c>
      <c r="K205" s="508" t="s">
        <v>571</v>
      </c>
      <c r="L205" s="508" t="s">
        <v>40</v>
      </c>
      <c r="M205" s="508">
        <v>1</v>
      </c>
      <c r="N205" s="508">
        <v>2</v>
      </c>
      <c r="O205" s="508">
        <v>3</v>
      </c>
      <c r="P205" s="395">
        <v>4</v>
      </c>
      <c r="Q205" s="395">
        <v>5</v>
      </c>
      <c r="R205" s="395">
        <v>6</v>
      </c>
      <c r="S205" s="395">
        <v>7</v>
      </c>
      <c r="T205" s="395">
        <v>8</v>
      </c>
      <c r="U205" s="255" t="s">
        <v>568</v>
      </c>
      <c r="V205" s="551" t="s">
        <v>300</v>
      </c>
      <c r="W205" s="542" t="str">
        <f t="shared" si="51"/>
        <v>EI0050_8+TB123 NA+</v>
      </c>
      <c r="X205" s="552" t="str">
        <f>I205&amp;TEXT(J205,"0000")&amp;"_"&amp;LEFT(Control!$D$22,LEN(Control!$D$22)-2)</f>
        <v>EI0050_8</v>
      </c>
      <c r="Y205" s="552" t="s">
        <v>433</v>
      </c>
      <c r="Z205" s="552" t="str">
        <f t="shared" si="334"/>
        <v>NA+</v>
      </c>
      <c r="AA205" s="552"/>
      <c r="AB205" s="552">
        <v>1</v>
      </c>
      <c r="AC205" s="552">
        <v>1</v>
      </c>
      <c r="AD205" s="552">
        <v>1</v>
      </c>
      <c r="AE205" s="552">
        <v>1</v>
      </c>
      <c r="AF205" s="552">
        <v>1</v>
      </c>
      <c r="AG205" s="542" t="s">
        <v>561</v>
      </c>
      <c r="AH205" s="552">
        <v>0</v>
      </c>
      <c r="AI205" s="552">
        <v>0</v>
      </c>
      <c r="AJ205" s="552">
        <v>1</v>
      </c>
      <c r="AK205" s="552">
        <v>1</v>
      </c>
      <c r="AL205" s="552">
        <v>1</v>
      </c>
      <c r="AM205" s="552">
        <v>0</v>
      </c>
      <c r="AN205" s="552">
        <v>0</v>
      </c>
      <c r="AO205" s="552">
        <v>1</v>
      </c>
      <c r="AP205" s="552">
        <v>1</v>
      </c>
      <c r="AQ205" s="552">
        <v>1</v>
      </c>
      <c r="AR205" s="552">
        <v>1</v>
      </c>
      <c r="AS205" s="552">
        <v>1</v>
      </c>
      <c r="AT205" s="552">
        <v>1</v>
      </c>
      <c r="AU205" s="552">
        <v>1</v>
      </c>
      <c r="AV205" s="553" t="str">
        <f>IF(H205="YES","'"&amp;INDEX('Structure Groups'!$C$12:$C$14,MATCH('Load Criteria'!$B$5,'Structure Groups'!$B$12:$B$14,0),1)&amp;"'","'All'")</f>
        <v>'GL Max 800m'</v>
      </c>
      <c r="AW205" s="552" t="s">
        <v>562</v>
      </c>
      <c r="AX205" s="552"/>
      <c r="AY205" s="552" t="str">
        <f t="shared" si="283"/>
        <v>Yes</v>
      </c>
      <c r="AZ205" s="389" t="str">
        <f t="shared" si="285"/>
        <v>1:1:Back</v>
      </c>
      <c r="BA205" s="554" t="s">
        <v>572</v>
      </c>
      <c r="BB205" s="391">
        <v>40</v>
      </c>
      <c r="BC205" s="579" t="str">
        <f t="shared" si="286"/>
        <v>11:1:Ahead</v>
      </c>
      <c r="BD205" s="554" t="s">
        <v>572</v>
      </c>
      <c r="BE205" s="580">
        <f t="shared" si="336"/>
        <v>70</v>
      </c>
      <c r="BF205" s="389" t="str">
        <f t="shared" si="288"/>
        <v>1:1:Ahead</v>
      </c>
      <c r="BG205" s="554" t="str">
        <f t="shared" si="289"/>
        <v>% Wire Ice</v>
      </c>
      <c r="BH205" s="391">
        <v>70</v>
      </c>
      <c r="BI205" s="389" t="str">
        <f t="shared" si="290"/>
        <v>2:1:Back</v>
      </c>
      <c r="BJ205" s="554" t="s">
        <v>572</v>
      </c>
      <c r="BK205" s="391">
        <v>40</v>
      </c>
      <c r="BL205" s="579" t="str">
        <f t="shared" ref="BL205:BL207" si="340">$N205+10&amp;":1:"&amp;"Ahead"</f>
        <v>12:1:Ahead</v>
      </c>
      <c r="BM205" s="554" t="s">
        <v>572</v>
      </c>
      <c r="BN205" s="580">
        <f t="shared" si="338"/>
        <v>70</v>
      </c>
      <c r="BO205" s="389" t="str">
        <f t="shared" si="293"/>
        <v>2:1:Ahead</v>
      </c>
      <c r="BP205" s="554" t="str">
        <f t="shared" si="294"/>
        <v>% Wire Ice</v>
      </c>
      <c r="BQ205" s="391">
        <v>70</v>
      </c>
      <c r="BR205" s="389" t="str">
        <f t="shared" si="295"/>
        <v>3:1:Back</v>
      </c>
      <c r="BS205" s="554" t="str">
        <f t="shared" si="296"/>
        <v>% Wire Ice</v>
      </c>
      <c r="BT205" s="391">
        <f t="shared" si="297"/>
        <v>40</v>
      </c>
      <c r="BU205" s="579" t="str">
        <f t="shared" ref="BU205:BU207" si="341">$O205+10&amp;":1:"&amp;"Ahead"</f>
        <v>13:1:Ahead</v>
      </c>
      <c r="BV205" s="554" t="str">
        <f t="shared" si="299"/>
        <v>% Wire Ice</v>
      </c>
      <c r="BW205" s="580">
        <f t="shared" si="339"/>
        <v>70</v>
      </c>
      <c r="BX205" s="389" t="str">
        <f t="shared" si="301"/>
        <v>3:1:Ahead</v>
      </c>
      <c r="BY205" s="554" t="str">
        <f t="shared" si="302"/>
        <v>% Wire Ice</v>
      </c>
      <c r="BZ205" s="391">
        <f t="shared" si="303"/>
        <v>70</v>
      </c>
      <c r="CA205" s="389" t="str">
        <f t="shared" si="304"/>
        <v>4:1:Back+Ahead</v>
      </c>
      <c r="CB205" s="554" t="str">
        <f t="shared" si="305"/>
        <v>% Wire Ice</v>
      </c>
      <c r="CC205" s="391">
        <f t="shared" si="306"/>
        <v>70</v>
      </c>
      <c r="CD205" s="389" t="str">
        <f t="shared" si="307"/>
        <v>14:1:Ahead</v>
      </c>
      <c r="CE205" s="554" t="str">
        <f t="shared" si="308"/>
        <v>% Wire Ice</v>
      </c>
      <c r="CF205" s="391">
        <f t="shared" si="309"/>
        <v>70</v>
      </c>
      <c r="CG205" s="389" t="str">
        <f t="shared" si="310"/>
        <v>5:1:Back+Ahead</v>
      </c>
      <c r="CH205" s="554" t="str">
        <f t="shared" si="311"/>
        <v>% Wire Ice</v>
      </c>
      <c r="CI205" s="391">
        <f t="shared" si="312"/>
        <v>70</v>
      </c>
      <c r="CJ205" s="389" t="str">
        <f t="shared" si="313"/>
        <v>15:1:Ahead</v>
      </c>
      <c r="CK205" s="554" t="str">
        <f t="shared" si="314"/>
        <v>% Wire Ice</v>
      </c>
      <c r="CL205" s="391">
        <f t="shared" si="315"/>
        <v>70</v>
      </c>
      <c r="CM205" s="389" t="str">
        <f t="shared" si="316"/>
        <v>6:1:Back+Ahead</v>
      </c>
      <c r="CN205" s="554" t="str">
        <f t="shared" si="317"/>
        <v>% Wire Ice</v>
      </c>
      <c r="CO205" s="391">
        <f t="shared" si="318"/>
        <v>70</v>
      </c>
      <c r="CP205" s="554" t="str">
        <f t="shared" si="319"/>
        <v>16:1:Ahead</v>
      </c>
      <c r="CQ205" s="554" t="str">
        <f t="shared" si="320"/>
        <v>% Wire Ice</v>
      </c>
      <c r="CR205" s="554">
        <f t="shared" si="321"/>
        <v>70</v>
      </c>
      <c r="CS205" s="554" t="str">
        <f t="shared" si="322"/>
        <v>7:1:Back+Ahead</v>
      </c>
      <c r="CT205" s="554" t="str">
        <f t="shared" si="323"/>
        <v>% Wire Ice</v>
      </c>
      <c r="CU205" s="554">
        <f t="shared" si="324"/>
        <v>70</v>
      </c>
      <c r="CV205" s="554" t="str">
        <f t="shared" si="325"/>
        <v>17:1:Ahead</v>
      </c>
      <c r="CW205" s="554" t="str">
        <f t="shared" si="326"/>
        <v>% Wire Ice</v>
      </c>
      <c r="CX205" s="554">
        <f t="shared" si="327"/>
        <v>70</v>
      </c>
      <c r="CY205" s="554" t="str">
        <f t="shared" si="328"/>
        <v>8:1:Back+Ahead</v>
      </c>
      <c r="CZ205" s="554" t="str">
        <f t="shared" si="329"/>
        <v>% Wire Ice</v>
      </c>
      <c r="DA205" s="554">
        <f t="shared" si="330"/>
        <v>70</v>
      </c>
      <c r="DB205" s="554" t="str">
        <f t="shared" si="331"/>
        <v>18:1:Ahead</v>
      </c>
      <c r="DC205" s="554" t="str">
        <f t="shared" si="332"/>
        <v>% Wire Ice</v>
      </c>
      <c r="DD205" s="554">
        <f t="shared" si="333"/>
        <v>70</v>
      </c>
      <c r="DE205" s="534"/>
      <c r="DF205" s="534"/>
      <c r="DG205" s="534"/>
    </row>
    <row r="206" spans="1:111" ht="15" x14ac:dyDescent="0.25">
      <c r="A206" s="549">
        <f>IFERROR(IF(INDEX('Weather Cases'!$E$10:$E$94,MATCH('Load Criteria'!X206,'Weather Cases'!$H$10:$H$94,0),1)=1,1,"-"),"-")</f>
        <v>1</v>
      </c>
      <c r="B206" s="555" t="s">
        <v>558</v>
      </c>
      <c r="C206" s="556" t="str">
        <f>IF('Weather Cases'!$E$42=0,"","DC")</f>
        <v>DC</v>
      </c>
      <c r="D206" s="555" t="s">
        <v>567</v>
      </c>
      <c r="E206" s="556" t="s">
        <v>22</v>
      </c>
      <c r="F206" s="556" t="s">
        <v>22</v>
      </c>
      <c r="G206" s="556" t="str">
        <f>IFERROR(IF(MID('Load Criteria'!X206,FIND("_",'Load Criteria'!X206,1)+1,1)=LEFT(Control!$D$23,1),"YES","-"),"-")</f>
        <v>-</v>
      </c>
      <c r="H206" s="549" t="str">
        <f>IF(INDEX('Weather Cases'!$G$10:$G$94,MATCH('Load Criteria'!X206,'Weather Cases'!$H$10:$H$94,0),1)="H","YES","")</f>
        <v>YES</v>
      </c>
      <c r="I206" s="557" t="s">
        <v>323</v>
      </c>
      <c r="J206" s="550">
        <v>50</v>
      </c>
      <c r="K206" s="508" t="s">
        <v>571</v>
      </c>
      <c r="L206" s="508" t="s">
        <v>24</v>
      </c>
      <c r="M206" s="508">
        <v>4</v>
      </c>
      <c r="N206" s="508">
        <v>5</v>
      </c>
      <c r="O206" s="508">
        <v>6</v>
      </c>
      <c r="P206" s="395">
        <v>1</v>
      </c>
      <c r="Q206" s="395">
        <v>2</v>
      </c>
      <c r="R206" s="395">
        <v>3</v>
      </c>
      <c r="S206" s="395">
        <v>7</v>
      </c>
      <c r="T206" s="395">
        <v>8</v>
      </c>
      <c r="U206" s="255" t="s">
        <v>568</v>
      </c>
      <c r="V206" s="551" t="s">
        <v>300</v>
      </c>
      <c r="W206" s="542" t="str">
        <f t="shared" si="51"/>
        <v>EI0050_8+TA456 NA+</v>
      </c>
      <c r="X206" s="552" t="str">
        <f>I206&amp;TEXT(J206,"0000")&amp;"_"&amp;LEFT(Control!$D$22,LEN(Control!$D$22)-2)</f>
        <v>EI0050_8</v>
      </c>
      <c r="Y206" s="552" t="s">
        <v>433</v>
      </c>
      <c r="Z206" s="552" t="str">
        <f t="shared" si="334"/>
        <v>NA+</v>
      </c>
      <c r="AA206" s="552"/>
      <c r="AB206" s="552">
        <v>1</v>
      </c>
      <c r="AC206" s="552">
        <v>1</v>
      </c>
      <c r="AD206" s="552">
        <v>1</v>
      </c>
      <c r="AE206" s="552">
        <v>1</v>
      </c>
      <c r="AF206" s="552">
        <v>1</v>
      </c>
      <c r="AG206" s="542" t="s">
        <v>561</v>
      </c>
      <c r="AH206" s="552">
        <v>0</v>
      </c>
      <c r="AI206" s="552">
        <v>0</v>
      </c>
      <c r="AJ206" s="552">
        <v>1</v>
      </c>
      <c r="AK206" s="552">
        <v>1</v>
      </c>
      <c r="AL206" s="552">
        <v>1</v>
      </c>
      <c r="AM206" s="552">
        <v>0</v>
      </c>
      <c r="AN206" s="552">
        <v>0</v>
      </c>
      <c r="AO206" s="552">
        <v>1</v>
      </c>
      <c r="AP206" s="552">
        <v>1</v>
      </c>
      <c r="AQ206" s="552">
        <v>1</v>
      </c>
      <c r="AR206" s="552">
        <v>1</v>
      </c>
      <c r="AS206" s="552">
        <v>1</v>
      </c>
      <c r="AT206" s="552">
        <v>1</v>
      </c>
      <c r="AU206" s="552">
        <v>1</v>
      </c>
      <c r="AV206" s="553" t="str">
        <f>IF(H206="YES","'"&amp;INDEX('Structure Groups'!$C$12:$C$14,MATCH('Load Criteria'!$B$5,'Structure Groups'!$B$12:$B$14,0),1)&amp;"'","'All'")</f>
        <v>'GL Max 800m'</v>
      </c>
      <c r="AW206" s="552" t="s">
        <v>562</v>
      </c>
      <c r="AX206" s="552"/>
      <c r="AY206" s="552" t="str">
        <f t="shared" si="283"/>
        <v>Yes</v>
      </c>
      <c r="AZ206" s="389" t="str">
        <f t="shared" si="285"/>
        <v>4:1:Ahead</v>
      </c>
      <c r="BA206" s="554" t="s">
        <v>572</v>
      </c>
      <c r="BB206" s="391">
        <v>40</v>
      </c>
      <c r="BC206" s="579" t="str">
        <f t="shared" si="286"/>
        <v>14:1:Ahead</v>
      </c>
      <c r="BD206" s="554" t="s">
        <v>572</v>
      </c>
      <c r="BE206" s="580">
        <f t="shared" si="336"/>
        <v>40</v>
      </c>
      <c r="BF206" s="389" t="str">
        <f t="shared" si="288"/>
        <v>4:1:Back</v>
      </c>
      <c r="BG206" s="554" t="str">
        <f t="shared" si="289"/>
        <v>% Wire Ice</v>
      </c>
      <c r="BH206" s="391">
        <v>70</v>
      </c>
      <c r="BI206" s="389" t="str">
        <f t="shared" si="290"/>
        <v>5:1:Ahead</v>
      </c>
      <c r="BJ206" s="554" t="s">
        <v>572</v>
      </c>
      <c r="BK206" s="391">
        <v>40</v>
      </c>
      <c r="BL206" s="579" t="str">
        <f t="shared" si="340"/>
        <v>15:1:Ahead</v>
      </c>
      <c r="BM206" s="554" t="s">
        <v>572</v>
      </c>
      <c r="BN206" s="580">
        <f t="shared" si="338"/>
        <v>40</v>
      </c>
      <c r="BO206" s="389" t="str">
        <f t="shared" si="293"/>
        <v>5:1:Back</v>
      </c>
      <c r="BP206" s="554" t="str">
        <f t="shared" si="294"/>
        <v>% Wire Ice</v>
      </c>
      <c r="BQ206" s="391">
        <v>70</v>
      </c>
      <c r="BR206" s="389" t="str">
        <f t="shared" si="295"/>
        <v>6:1:Ahead</v>
      </c>
      <c r="BS206" s="554" t="str">
        <f t="shared" si="296"/>
        <v>% Wire Ice</v>
      </c>
      <c r="BT206" s="391">
        <f t="shared" si="297"/>
        <v>40</v>
      </c>
      <c r="BU206" s="579" t="str">
        <f t="shared" si="341"/>
        <v>16:1:Ahead</v>
      </c>
      <c r="BV206" s="554" t="str">
        <f t="shared" si="299"/>
        <v>% Wire Ice</v>
      </c>
      <c r="BW206" s="580">
        <f t="shared" si="339"/>
        <v>40</v>
      </c>
      <c r="BX206" s="389" t="str">
        <f t="shared" si="301"/>
        <v>6:1:Back</v>
      </c>
      <c r="BY206" s="554" t="str">
        <f t="shared" si="302"/>
        <v>% Wire Ice</v>
      </c>
      <c r="BZ206" s="391">
        <f t="shared" si="303"/>
        <v>70</v>
      </c>
      <c r="CA206" s="389" t="str">
        <f t="shared" si="304"/>
        <v>1:1:Back+Ahead</v>
      </c>
      <c r="CB206" s="554" t="str">
        <f t="shared" si="305"/>
        <v>% Wire Ice</v>
      </c>
      <c r="CC206" s="391">
        <f t="shared" si="306"/>
        <v>70</v>
      </c>
      <c r="CD206" s="389" t="str">
        <f t="shared" si="307"/>
        <v>11:1:Ahead</v>
      </c>
      <c r="CE206" s="554" t="str">
        <f t="shared" si="308"/>
        <v>% Wire Ice</v>
      </c>
      <c r="CF206" s="391">
        <f t="shared" si="309"/>
        <v>70</v>
      </c>
      <c r="CG206" s="389" t="str">
        <f t="shared" si="310"/>
        <v>2:1:Back+Ahead</v>
      </c>
      <c r="CH206" s="554" t="str">
        <f t="shared" si="311"/>
        <v>% Wire Ice</v>
      </c>
      <c r="CI206" s="391">
        <f t="shared" si="312"/>
        <v>70</v>
      </c>
      <c r="CJ206" s="389" t="str">
        <f t="shared" si="313"/>
        <v>12:1:Ahead</v>
      </c>
      <c r="CK206" s="554" t="str">
        <f t="shared" si="314"/>
        <v>% Wire Ice</v>
      </c>
      <c r="CL206" s="391">
        <f t="shared" si="315"/>
        <v>70</v>
      </c>
      <c r="CM206" s="389" t="str">
        <f t="shared" si="316"/>
        <v>3:1:Back+Ahead</v>
      </c>
      <c r="CN206" s="554" t="str">
        <f t="shared" si="317"/>
        <v>% Wire Ice</v>
      </c>
      <c r="CO206" s="391">
        <f t="shared" si="318"/>
        <v>70</v>
      </c>
      <c r="CP206" s="554" t="str">
        <f t="shared" si="319"/>
        <v>13:1:Ahead</v>
      </c>
      <c r="CQ206" s="554" t="str">
        <f t="shared" si="320"/>
        <v>% Wire Ice</v>
      </c>
      <c r="CR206" s="554">
        <f t="shared" si="321"/>
        <v>70</v>
      </c>
      <c r="CS206" s="554" t="str">
        <f t="shared" si="322"/>
        <v>7:1:Back+Ahead</v>
      </c>
      <c r="CT206" s="554" t="str">
        <f t="shared" si="323"/>
        <v>% Wire Ice</v>
      </c>
      <c r="CU206" s="554">
        <f t="shared" si="324"/>
        <v>70</v>
      </c>
      <c r="CV206" s="554" t="str">
        <f t="shared" si="325"/>
        <v>17:1:Ahead</v>
      </c>
      <c r="CW206" s="554" t="str">
        <f t="shared" si="326"/>
        <v>% Wire Ice</v>
      </c>
      <c r="CX206" s="554">
        <f t="shared" si="327"/>
        <v>70</v>
      </c>
      <c r="CY206" s="554" t="str">
        <f t="shared" si="328"/>
        <v>8:1:Back+Ahead</v>
      </c>
      <c r="CZ206" s="554" t="str">
        <f t="shared" si="329"/>
        <v>% Wire Ice</v>
      </c>
      <c r="DA206" s="554">
        <f t="shared" si="330"/>
        <v>70</v>
      </c>
      <c r="DB206" s="554" t="str">
        <f t="shared" si="331"/>
        <v>18:1:Ahead</v>
      </c>
      <c r="DC206" s="554" t="str">
        <f t="shared" si="332"/>
        <v>% Wire Ice</v>
      </c>
      <c r="DD206" s="554">
        <f t="shared" si="333"/>
        <v>70</v>
      </c>
      <c r="DE206" s="534"/>
      <c r="DF206" s="534"/>
      <c r="DG206" s="534"/>
    </row>
    <row r="207" spans="1:111" ht="15" x14ac:dyDescent="0.25">
      <c r="A207" s="549">
        <f>IFERROR(IF(INDEX('Weather Cases'!$E$10:$E$94,MATCH('Load Criteria'!X207,'Weather Cases'!$H$10:$H$94,0),1)=1,1,"-"),"-")</f>
        <v>1</v>
      </c>
      <c r="B207" s="555" t="s">
        <v>558</v>
      </c>
      <c r="C207" s="556" t="str">
        <f>IF('Weather Cases'!$E$42=0,"","DC")</f>
        <v>DC</v>
      </c>
      <c r="D207" s="555" t="s">
        <v>567</v>
      </c>
      <c r="E207" s="556" t="s">
        <v>22</v>
      </c>
      <c r="F207" s="556" t="s">
        <v>22</v>
      </c>
      <c r="G207" s="556" t="str">
        <f>IFERROR(IF(MID('Load Criteria'!X207,FIND("_",'Load Criteria'!X207,1)+1,1)=LEFT(Control!$D$23,1),"YES","-"),"-")</f>
        <v>-</v>
      </c>
      <c r="H207" s="549" t="str">
        <f>IF(INDEX('Weather Cases'!$G$10:$G$94,MATCH('Load Criteria'!X207,'Weather Cases'!$H$10:$H$94,0),1)="H","YES","")</f>
        <v>YES</v>
      </c>
      <c r="I207" s="557" t="s">
        <v>323</v>
      </c>
      <c r="J207" s="550">
        <v>50</v>
      </c>
      <c r="K207" s="508" t="s">
        <v>571</v>
      </c>
      <c r="L207" s="508" t="s">
        <v>40</v>
      </c>
      <c r="M207" s="508">
        <v>4</v>
      </c>
      <c r="N207" s="508">
        <v>5</v>
      </c>
      <c r="O207" s="508">
        <v>6</v>
      </c>
      <c r="P207" s="395">
        <v>1</v>
      </c>
      <c r="Q207" s="395">
        <v>2</v>
      </c>
      <c r="R207" s="395">
        <v>3</v>
      </c>
      <c r="S207" s="395">
        <v>7</v>
      </c>
      <c r="T207" s="395">
        <v>8</v>
      </c>
      <c r="U207" s="255" t="s">
        <v>568</v>
      </c>
      <c r="V207" s="551" t="s">
        <v>300</v>
      </c>
      <c r="W207" s="542" t="str">
        <f t="shared" si="51"/>
        <v>EI0050_8+TB456 NA+</v>
      </c>
      <c r="X207" s="552" t="str">
        <f>I207&amp;TEXT(J207,"0000")&amp;"_"&amp;LEFT(Control!$D$22,LEN(Control!$D$22)-2)</f>
        <v>EI0050_8</v>
      </c>
      <c r="Y207" s="552" t="s">
        <v>433</v>
      </c>
      <c r="Z207" s="552" t="str">
        <f t="shared" si="334"/>
        <v>NA+</v>
      </c>
      <c r="AA207" s="552"/>
      <c r="AB207" s="552">
        <v>1</v>
      </c>
      <c r="AC207" s="552">
        <v>1</v>
      </c>
      <c r="AD207" s="552">
        <v>1</v>
      </c>
      <c r="AE207" s="552">
        <v>1</v>
      </c>
      <c r="AF207" s="552">
        <v>1</v>
      </c>
      <c r="AG207" s="542" t="s">
        <v>561</v>
      </c>
      <c r="AH207" s="552">
        <v>0</v>
      </c>
      <c r="AI207" s="552">
        <v>0</v>
      </c>
      <c r="AJ207" s="552">
        <v>1</v>
      </c>
      <c r="AK207" s="552">
        <v>1</v>
      </c>
      <c r="AL207" s="552">
        <v>1</v>
      </c>
      <c r="AM207" s="552">
        <v>0</v>
      </c>
      <c r="AN207" s="552">
        <v>0</v>
      </c>
      <c r="AO207" s="552">
        <v>1</v>
      </c>
      <c r="AP207" s="552">
        <v>1</v>
      </c>
      <c r="AQ207" s="552">
        <v>1</v>
      </c>
      <c r="AR207" s="552">
        <v>1</v>
      </c>
      <c r="AS207" s="552">
        <v>1</v>
      </c>
      <c r="AT207" s="552">
        <v>1</v>
      </c>
      <c r="AU207" s="552">
        <v>1</v>
      </c>
      <c r="AV207" s="553" t="str">
        <f>IF(H207="YES","'"&amp;INDEX('Structure Groups'!$C$12:$C$14,MATCH('Load Criteria'!$B$5,'Structure Groups'!$B$12:$B$14,0),1)&amp;"'","'All'")</f>
        <v>'GL Max 800m'</v>
      </c>
      <c r="AW207" s="552" t="s">
        <v>562</v>
      </c>
      <c r="AX207" s="552"/>
      <c r="AY207" s="552" t="str">
        <f t="shared" si="283"/>
        <v>Yes</v>
      </c>
      <c r="AZ207" s="389" t="str">
        <f t="shared" si="285"/>
        <v>4:1:Back</v>
      </c>
      <c r="BA207" s="554" t="s">
        <v>572</v>
      </c>
      <c r="BB207" s="391">
        <v>40</v>
      </c>
      <c r="BC207" s="579" t="str">
        <f t="shared" si="286"/>
        <v>14:1:Ahead</v>
      </c>
      <c r="BD207" s="554" t="s">
        <v>572</v>
      </c>
      <c r="BE207" s="580">
        <f t="shared" si="336"/>
        <v>70</v>
      </c>
      <c r="BF207" s="389" t="str">
        <f t="shared" si="288"/>
        <v>4:1:Ahead</v>
      </c>
      <c r="BG207" s="554" t="str">
        <f t="shared" si="289"/>
        <v>% Wire Ice</v>
      </c>
      <c r="BH207" s="391">
        <v>70</v>
      </c>
      <c r="BI207" s="389" t="str">
        <f t="shared" si="290"/>
        <v>5:1:Back</v>
      </c>
      <c r="BJ207" s="554" t="s">
        <v>572</v>
      </c>
      <c r="BK207" s="391">
        <v>40</v>
      </c>
      <c r="BL207" s="579" t="str">
        <f t="shared" si="340"/>
        <v>15:1:Ahead</v>
      </c>
      <c r="BM207" s="554" t="s">
        <v>572</v>
      </c>
      <c r="BN207" s="580">
        <f t="shared" si="338"/>
        <v>70</v>
      </c>
      <c r="BO207" s="389" t="str">
        <f t="shared" si="293"/>
        <v>5:1:Ahead</v>
      </c>
      <c r="BP207" s="554" t="str">
        <f t="shared" si="294"/>
        <v>% Wire Ice</v>
      </c>
      <c r="BQ207" s="391">
        <v>70</v>
      </c>
      <c r="BR207" s="389" t="str">
        <f t="shared" si="295"/>
        <v>6:1:Back</v>
      </c>
      <c r="BS207" s="554" t="str">
        <f t="shared" si="296"/>
        <v>% Wire Ice</v>
      </c>
      <c r="BT207" s="391">
        <f t="shared" si="297"/>
        <v>40</v>
      </c>
      <c r="BU207" s="579" t="str">
        <f t="shared" si="341"/>
        <v>16:1:Ahead</v>
      </c>
      <c r="BV207" s="554" t="str">
        <f t="shared" si="299"/>
        <v>% Wire Ice</v>
      </c>
      <c r="BW207" s="580">
        <f t="shared" si="339"/>
        <v>70</v>
      </c>
      <c r="BX207" s="389" t="str">
        <f t="shared" si="301"/>
        <v>6:1:Ahead</v>
      </c>
      <c r="BY207" s="554" t="str">
        <f t="shared" si="302"/>
        <v>% Wire Ice</v>
      </c>
      <c r="BZ207" s="391">
        <f t="shared" si="303"/>
        <v>70</v>
      </c>
      <c r="CA207" s="389" t="str">
        <f t="shared" si="304"/>
        <v>1:1:Back+Ahead</v>
      </c>
      <c r="CB207" s="554" t="str">
        <f t="shared" si="305"/>
        <v>% Wire Ice</v>
      </c>
      <c r="CC207" s="391">
        <f t="shared" si="306"/>
        <v>70</v>
      </c>
      <c r="CD207" s="389" t="str">
        <f t="shared" si="307"/>
        <v>11:1:Ahead</v>
      </c>
      <c r="CE207" s="554" t="str">
        <f t="shared" si="308"/>
        <v>% Wire Ice</v>
      </c>
      <c r="CF207" s="391">
        <f t="shared" si="309"/>
        <v>70</v>
      </c>
      <c r="CG207" s="389" t="str">
        <f t="shared" si="310"/>
        <v>2:1:Back+Ahead</v>
      </c>
      <c r="CH207" s="554" t="str">
        <f t="shared" si="311"/>
        <v>% Wire Ice</v>
      </c>
      <c r="CI207" s="391">
        <f t="shared" si="312"/>
        <v>70</v>
      </c>
      <c r="CJ207" s="389" t="str">
        <f t="shared" si="313"/>
        <v>12:1:Ahead</v>
      </c>
      <c r="CK207" s="554" t="str">
        <f t="shared" si="314"/>
        <v>% Wire Ice</v>
      </c>
      <c r="CL207" s="391">
        <f t="shared" si="315"/>
        <v>70</v>
      </c>
      <c r="CM207" s="389" t="str">
        <f t="shared" si="316"/>
        <v>3:1:Back+Ahead</v>
      </c>
      <c r="CN207" s="554" t="str">
        <f t="shared" si="317"/>
        <v>% Wire Ice</v>
      </c>
      <c r="CO207" s="391">
        <f t="shared" si="318"/>
        <v>70</v>
      </c>
      <c r="CP207" s="554" t="str">
        <f t="shared" si="319"/>
        <v>13:1:Ahead</v>
      </c>
      <c r="CQ207" s="554" t="str">
        <f t="shared" si="320"/>
        <v>% Wire Ice</v>
      </c>
      <c r="CR207" s="554">
        <f t="shared" si="321"/>
        <v>70</v>
      </c>
      <c r="CS207" s="554" t="str">
        <f t="shared" si="322"/>
        <v>7:1:Back+Ahead</v>
      </c>
      <c r="CT207" s="554" t="str">
        <f t="shared" si="323"/>
        <v>% Wire Ice</v>
      </c>
      <c r="CU207" s="554">
        <f t="shared" si="324"/>
        <v>70</v>
      </c>
      <c r="CV207" s="554" t="str">
        <f t="shared" si="325"/>
        <v>17:1:Ahead</v>
      </c>
      <c r="CW207" s="554" t="str">
        <f t="shared" si="326"/>
        <v>% Wire Ice</v>
      </c>
      <c r="CX207" s="554">
        <f t="shared" si="327"/>
        <v>70</v>
      </c>
      <c r="CY207" s="554" t="str">
        <f t="shared" si="328"/>
        <v>8:1:Back+Ahead</v>
      </c>
      <c r="CZ207" s="554" t="str">
        <f t="shared" si="329"/>
        <v>% Wire Ice</v>
      </c>
      <c r="DA207" s="554">
        <f t="shared" si="330"/>
        <v>70</v>
      </c>
      <c r="DB207" s="554" t="str">
        <f t="shared" si="331"/>
        <v>18:1:Ahead</v>
      </c>
      <c r="DC207" s="554" t="str">
        <f t="shared" si="332"/>
        <v>% Wire Ice</v>
      </c>
      <c r="DD207" s="554">
        <f t="shared" si="333"/>
        <v>70</v>
      </c>
      <c r="DE207" s="534"/>
      <c r="DF207" s="534"/>
      <c r="DG207" s="534"/>
    </row>
    <row r="208" spans="1:111" ht="15" x14ac:dyDescent="0.25">
      <c r="A208" s="549">
        <f>IFERROR(IF(INDEX('Weather Cases'!$E$10:$E$94,MATCH('Load Criteria'!X208,'Weather Cases'!$H$10:$H$94,0),1)=1,1,"-"),"-")</f>
        <v>1</v>
      </c>
      <c r="B208" s="555" t="s">
        <v>558</v>
      </c>
      <c r="C208" s="556" t="str">
        <f>IF('Weather Cases'!$E$42=0,"","DC/SC")</f>
        <v>DC/SC</v>
      </c>
      <c r="D208" s="555" t="s">
        <v>567</v>
      </c>
      <c r="E208" s="556" t="s">
        <v>22</v>
      </c>
      <c r="F208" s="556" t="s">
        <v>22</v>
      </c>
      <c r="G208" s="556" t="str">
        <f>IFERROR(IF(MID('Load Criteria'!X208,FIND("_",'Load Criteria'!X208,1)+1,1)=LEFT(Control!$D$23,1),"YES","-"),"-")</f>
        <v>-</v>
      </c>
      <c r="H208" s="549" t="str">
        <f>IF(INDEX('Weather Cases'!$G$10:$G$94,MATCH('Load Criteria'!X208,'Weather Cases'!$H$10:$H$94,0),1)="H","YES","")</f>
        <v>YES</v>
      </c>
      <c r="I208" s="557" t="s">
        <v>323</v>
      </c>
      <c r="J208" s="550">
        <v>50</v>
      </c>
      <c r="K208" s="508" t="s">
        <v>88</v>
      </c>
      <c r="L208" s="508"/>
      <c r="M208" s="508"/>
      <c r="N208" s="508"/>
      <c r="O208" s="508"/>
      <c r="P208" s="395"/>
      <c r="Q208" s="395"/>
      <c r="R208" s="395"/>
      <c r="S208" s="395"/>
      <c r="T208" s="395"/>
      <c r="U208" s="255" t="s">
        <v>574</v>
      </c>
      <c r="V208" s="551" t="s">
        <v>300</v>
      </c>
      <c r="W208" s="542" t="str">
        <f t="shared" si="51"/>
        <v>EI0050_8+E NA-</v>
      </c>
      <c r="X208" s="552" t="str">
        <f>I208&amp;TEXT(J208,"0000")&amp;"_"&amp;LEFT(Control!$D$22,LEN(Control!$D$22)-2)</f>
        <v>EI0050_8</v>
      </c>
      <c r="Y208" s="552" t="s">
        <v>433</v>
      </c>
      <c r="Z208" s="552" t="str">
        <f>U208</f>
        <v>NA-</v>
      </c>
      <c r="AA208" s="552"/>
      <c r="AB208" s="552">
        <v>1</v>
      </c>
      <c r="AC208" s="552">
        <v>1</v>
      </c>
      <c r="AD208" s="552">
        <v>1</v>
      </c>
      <c r="AE208" s="552">
        <v>1</v>
      </c>
      <c r="AF208" s="552">
        <v>1</v>
      </c>
      <c r="AG208" s="542" t="s">
        <v>561</v>
      </c>
      <c r="AH208" s="552">
        <v>0</v>
      </c>
      <c r="AI208" s="552">
        <v>0</v>
      </c>
      <c r="AJ208" s="552">
        <v>1</v>
      </c>
      <c r="AK208" s="552">
        <v>1</v>
      </c>
      <c r="AL208" s="552">
        <v>1</v>
      </c>
      <c r="AM208" s="552">
        <v>0</v>
      </c>
      <c r="AN208" s="552">
        <v>0</v>
      </c>
      <c r="AO208" s="552">
        <v>1</v>
      </c>
      <c r="AP208" s="552">
        <v>1</v>
      </c>
      <c r="AQ208" s="552">
        <v>1</v>
      </c>
      <c r="AR208" s="552">
        <v>1</v>
      </c>
      <c r="AS208" s="552">
        <v>1</v>
      </c>
      <c r="AT208" s="552">
        <v>1</v>
      </c>
      <c r="AU208" s="552">
        <v>1</v>
      </c>
      <c r="AV208" s="553" t="str">
        <f>IF(H208="YES","'"&amp;INDEX('Structure Groups'!$C$12:$C$14,MATCH('Load Criteria'!$B$5,'Structure Groups'!$B$12:$B$14,0),1)&amp;"'","'All'")</f>
        <v>'GL Max 800m'</v>
      </c>
      <c r="AW208" s="552" t="s">
        <v>562</v>
      </c>
      <c r="AX208" s="552"/>
      <c r="AY208" s="552" t="str">
        <f t="shared" si="283"/>
        <v>No</v>
      </c>
      <c r="AZ208" s="554" t="str">
        <f>IF(AY208="No","",IF(L208="A","Ahead Spans","Back Spans"))</f>
        <v/>
      </c>
      <c r="BA208" s="554"/>
      <c r="BB208" s="552"/>
      <c r="BC208" s="554"/>
      <c r="BD208" s="552"/>
      <c r="BE208" s="554"/>
      <c r="BF208" s="554"/>
      <c r="BG208" s="554"/>
      <c r="BH208" s="554"/>
      <c r="BI208" s="554"/>
      <c r="BJ208" s="554"/>
      <c r="BK208" s="554"/>
      <c r="BL208" s="554"/>
      <c r="BM208" s="554"/>
      <c r="BN208" s="554"/>
      <c r="BO208" s="554"/>
      <c r="BP208" s="554"/>
      <c r="BQ208" s="554"/>
      <c r="BR208" s="554"/>
      <c r="BS208" s="554"/>
      <c r="BT208" s="554"/>
      <c r="BU208" s="554"/>
      <c r="BV208" s="554"/>
      <c r="BW208" s="554"/>
      <c r="BX208" s="554"/>
      <c r="BY208" s="554"/>
      <c r="BZ208" s="554"/>
      <c r="CA208" s="554"/>
      <c r="CB208" s="554"/>
      <c r="CC208" s="554"/>
      <c r="CD208" s="554"/>
      <c r="CE208" s="554"/>
      <c r="CF208" s="554"/>
      <c r="CG208" s="554"/>
      <c r="CH208" s="554"/>
      <c r="CI208" s="554"/>
      <c r="CJ208" s="554"/>
      <c r="CK208" s="554"/>
      <c r="CL208" s="554"/>
      <c r="CM208" s="554"/>
      <c r="CN208" s="554"/>
      <c r="CO208" s="554"/>
      <c r="CP208" s="554"/>
      <c r="CQ208" s="554"/>
      <c r="CR208" s="554"/>
      <c r="CS208" s="554"/>
      <c r="CT208" s="554"/>
      <c r="CU208" s="554"/>
      <c r="CV208" s="554"/>
      <c r="CW208" s="554"/>
      <c r="CX208" s="554"/>
      <c r="CY208" s="554"/>
      <c r="CZ208" s="554"/>
      <c r="DA208" s="554"/>
      <c r="DB208" s="554"/>
      <c r="DC208" s="554"/>
      <c r="DD208" s="554"/>
      <c r="DE208" s="534"/>
      <c r="DF208" s="534"/>
      <c r="DG208" s="534"/>
    </row>
    <row r="209" spans="1:111" ht="15" x14ac:dyDescent="0.25">
      <c r="A209" s="549">
        <f>IFERROR(IF(INDEX('Weather Cases'!$E$10:$E$94,MATCH('Load Criteria'!X209,'Weather Cases'!$H$10:$H$94,0),1)=1,1,"-"),"-")</f>
        <v>1</v>
      </c>
      <c r="B209" s="555" t="s">
        <v>558</v>
      </c>
      <c r="C209" s="556" t="str">
        <f>IF('Weather Cases'!$E$42=0,"","DC/SC")</f>
        <v>DC/SC</v>
      </c>
      <c r="D209" s="555" t="s">
        <v>567</v>
      </c>
      <c r="E209" s="556" t="s">
        <v>22</v>
      </c>
      <c r="F209" s="556" t="s">
        <v>22</v>
      </c>
      <c r="G209" s="556" t="str">
        <f>IFERROR(IF(MID('Load Criteria'!X209,FIND("_",'Load Criteria'!X209,1)+1,1)=LEFT(Control!$D$23,1),"YES","-"),"-")</f>
        <v>-</v>
      </c>
      <c r="H209" s="549" t="str">
        <f>IF(INDEX('Weather Cases'!$G$10:$G$94,MATCH('Load Criteria'!X209,'Weather Cases'!$H$10:$H$94,0),1)="H","YES","")</f>
        <v>YES</v>
      </c>
      <c r="I209" s="557" t="s">
        <v>323</v>
      </c>
      <c r="J209" s="550">
        <v>50</v>
      </c>
      <c r="K209" s="508" t="s">
        <v>569</v>
      </c>
      <c r="L209" s="508" t="s">
        <v>24</v>
      </c>
      <c r="M209" s="508"/>
      <c r="N209" s="508"/>
      <c r="O209" s="508"/>
      <c r="P209" s="395"/>
      <c r="Q209" s="395"/>
      <c r="R209" s="395"/>
      <c r="S209" s="395"/>
      <c r="T209" s="395"/>
      <c r="U209" s="255" t="s">
        <v>574</v>
      </c>
      <c r="V209" s="551" t="s">
        <v>300</v>
      </c>
      <c r="W209" s="542" t="str">
        <f t="shared" si="51"/>
        <v>EI0050_8+LA NA-</v>
      </c>
      <c r="X209" s="552" t="str">
        <f>I209&amp;TEXT(J209,"0000")&amp;"_"&amp;LEFT(Control!$D$22,LEN(Control!$D$22)-2)</f>
        <v>EI0050_8</v>
      </c>
      <c r="Y209" s="552" t="s">
        <v>433</v>
      </c>
      <c r="Z209" s="552" t="str">
        <f>U209</f>
        <v>NA-</v>
      </c>
      <c r="AA209" s="552"/>
      <c r="AB209" s="552">
        <v>1</v>
      </c>
      <c r="AC209" s="552">
        <v>1</v>
      </c>
      <c r="AD209" s="552">
        <v>1</v>
      </c>
      <c r="AE209" s="552">
        <v>1</v>
      </c>
      <c r="AF209" s="552">
        <v>1</v>
      </c>
      <c r="AG209" s="542" t="s">
        <v>561</v>
      </c>
      <c r="AH209" s="552">
        <v>0</v>
      </c>
      <c r="AI209" s="552">
        <v>0</v>
      </c>
      <c r="AJ209" s="552">
        <v>1</v>
      </c>
      <c r="AK209" s="552">
        <v>1</v>
      </c>
      <c r="AL209" s="552">
        <v>1</v>
      </c>
      <c r="AM209" s="552">
        <v>0</v>
      </c>
      <c r="AN209" s="552">
        <v>0</v>
      </c>
      <c r="AO209" s="552">
        <v>1</v>
      </c>
      <c r="AP209" s="552">
        <v>1</v>
      </c>
      <c r="AQ209" s="552">
        <v>1</v>
      </c>
      <c r="AR209" s="552">
        <v>1</v>
      </c>
      <c r="AS209" s="552">
        <v>1</v>
      </c>
      <c r="AT209" s="552">
        <v>1</v>
      </c>
      <c r="AU209" s="552">
        <v>1</v>
      </c>
      <c r="AV209" s="553" t="str">
        <f>IF(H209="YES","'"&amp;INDEX('Structure Groups'!$C$12:$C$14,MATCH('Load Criteria'!$B$5,'Structure Groups'!$B$12:$B$14,0),1)&amp;"'","'All'")</f>
        <v>'GL Max 800m'</v>
      </c>
      <c r="AW209" s="552" t="s">
        <v>562</v>
      </c>
      <c r="AX209" s="552"/>
      <c r="AY209" s="552" t="str">
        <f t="shared" si="283"/>
        <v>Yes</v>
      </c>
      <c r="AZ209" s="554" t="str">
        <f>IF($AY209="No","",IF($L209="A","Ahead Spans","Back Spans"))</f>
        <v>Ahead Spans</v>
      </c>
      <c r="BA209" s="554" t="str">
        <f>IF(AZ209="","","% Wire Ice")</f>
        <v>% Wire Ice</v>
      </c>
      <c r="BB209" s="552">
        <f>IF(AZ209="","",40)</f>
        <v>40</v>
      </c>
      <c r="BC209" s="554" t="str">
        <f>IF($AY209="No","",IF($L209="A","Back Spans","Ahead Spans"))</f>
        <v>Back Spans</v>
      </c>
      <c r="BD209" s="554" t="str">
        <f t="shared" ref="BD209:BD210" si="342">IF(BC209="","","% Wire Ice")</f>
        <v>% Wire Ice</v>
      </c>
      <c r="BE209" s="552">
        <f>IF(BB209="","",70)</f>
        <v>70</v>
      </c>
      <c r="BF209" s="554"/>
      <c r="BG209" s="554"/>
      <c r="BH209" s="554"/>
      <c r="BI209" s="554"/>
      <c r="BJ209" s="554"/>
      <c r="BK209" s="554"/>
      <c r="BL209" s="554"/>
      <c r="BM209" s="554"/>
      <c r="BN209" s="554"/>
      <c r="BO209" s="554"/>
      <c r="BP209" s="554"/>
      <c r="BQ209" s="554"/>
      <c r="BR209" s="554"/>
      <c r="BS209" s="554"/>
      <c r="BT209" s="554"/>
      <c r="BU209" s="554"/>
      <c r="BV209" s="554"/>
      <c r="BW209" s="554"/>
      <c r="BX209" s="554"/>
      <c r="BY209" s="554"/>
      <c r="BZ209" s="554"/>
      <c r="CA209" s="554"/>
      <c r="CB209" s="554"/>
      <c r="CC209" s="554"/>
      <c r="CD209" s="554"/>
      <c r="CE209" s="554"/>
      <c r="CF209" s="554"/>
      <c r="CG209" s="554"/>
      <c r="CH209" s="554"/>
      <c r="CI209" s="554"/>
      <c r="CJ209" s="554"/>
      <c r="CK209" s="554"/>
      <c r="CL209" s="554"/>
      <c r="CM209" s="554"/>
      <c r="CN209" s="554"/>
      <c r="CO209" s="554"/>
      <c r="CP209" s="554"/>
      <c r="CQ209" s="554"/>
      <c r="CR209" s="554"/>
      <c r="CS209" s="554"/>
      <c r="CT209" s="554"/>
      <c r="CU209" s="554"/>
      <c r="CV209" s="554"/>
      <c r="CW209" s="554"/>
      <c r="CX209" s="554"/>
      <c r="CY209" s="554"/>
      <c r="CZ209" s="554"/>
      <c r="DA209" s="554"/>
      <c r="DB209" s="554"/>
      <c r="DC209" s="554"/>
      <c r="DD209" s="554"/>
      <c r="DE209" s="534"/>
      <c r="DF209" s="534"/>
      <c r="DG209" s="534"/>
    </row>
    <row r="210" spans="1:111" ht="15" x14ac:dyDescent="0.25">
      <c r="A210" s="549">
        <f>IFERROR(IF(INDEX('Weather Cases'!$E$10:$E$94,MATCH('Load Criteria'!X210,'Weather Cases'!$H$10:$H$94,0),1)=1,1,"-"),"-")</f>
        <v>1</v>
      </c>
      <c r="B210" s="555" t="s">
        <v>558</v>
      </c>
      <c r="C210" s="556" t="str">
        <f>IF('Weather Cases'!$E$42=0,"","DC/SC")</f>
        <v>DC/SC</v>
      </c>
      <c r="D210" s="555" t="s">
        <v>567</v>
      </c>
      <c r="E210" s="556" t="s">
        <v>22</v>
      </c>
      <c r="F210" s="556" t="s">
        <v>22</v>
      </c>
      <c r="G210" s="556" t="str">
        <f>IFERROR(IF(MID('Load Criteria'!X210,FIND("_",'Load Criteria'!X210,1)+1,1)=LEFT(Control!$D$23,1),"YES","-"),"-")</f>
        <v>-</v>
      </c>
      <c r="H210" s="549" t="str">
        <f>IF(INDEX('Weather Cases'!$G$10:$G$94,MATCH('Load Criteria'!X210,'Weather Cases'!$H$10:$H$94,0),1)="H","YES","")</f>
        <v>YES</v>
      </c>
      <c r="I210" s="557" t="s">
        <v>323</v>
      </c>
      <c r="J210" s="550">
        <v>50</v>
      </c>
      <c r="K210" s="508" t="s">
        <v>569</v>
      </c>
      <c r="L210" s="508" t="s">
        <v>40</v>
      </c>
      <c r="M210" s="508"/>
      <c r="N210" s="508"/>
      <c r="O210" s="508"/>
      <c r="P210" s="395"/>
      <c r="Q210" s="395"/>
      <c r="R210" s="395"/>
      <c r="S210" s="395"/>
      <c r="T210" s="395"/>
      <c r="U210" s="255" t="s">
        <v>574</v>
      </c>
      <c r="V210" s="551" t="s">
        <v>300</v>
      </c>
      <c r="W210" s="542" t="str">
        <f t="shared" si="51"/>
        <v>EI0050_8+LB NA-</v>
      </c>
      <c r="X210" s="552" t="str">
        <f>I210&amp;TEXT(J210,"0000")&amp;"_"&amp;LEFT(Control!$D$22,LEN(Control!$D$22)-2)</f>
        <v>EI0050_8</v>
      </c>
      <c r="Y210" s="552" t="s">
        <v>433</v>
      </c>
      <c r="Z210" s="552" t="str">
        <f>U210</f>
        <v>NA-</v>
      </c>
      <c r="AA210" s="552"/>
      <c r="AB210" s="552">
        <v>1</v>
      </c>
      <c r="AC210" s="552">
        <v>1</v>
      </c>
      <c r="AD210" s="552">
        <v>1</v>
      </c>
      <c r="AE210" s="552">
        <v>1</v>
      </c>
      <c r="AF210" s="552">
        <v>1</v>
      </c>
      <c r="AG210" s="542" t="s">
        <v>561</v>
      </c>
      <c r="AH210" s="552">
        <v>0</v>
      </c>
      <c r="AI210" s="552">
        <v>0</v>
      </c>
      <c r="AJ210" s="552">
        <v>1</v>
      </c>
      <c r="AK210" s="552">
        <v>1</v>
      </c>
      <c r="AL210" s="552">
        <v>1</v>
      </c>
      <c r="AM210" s="552">
        <v>0</v>
      </c>
      <c r="AN210" s="552">
        <v>0</v>
      </c>
      <c r="AO210" s="552">
        <v>1</v>
      </c>
      <c r="AP210" s="552">
        <v>1</v>
      </c>
      <c r="AQ210" s="552">
        <v>1</v>
      </c>
      <c r="AR210" s="552">
        <v>1</v>
      </c>
      <c r="AS210" s="552">
        <v>1</v>
      </c>
      <c r="AT210" s="552">
        <v>1</v>
      </c>
      <c r="AU210" s="552">
        <v>1</v>
      </c>
      <c r="AV210" s="553" t="str">
        <f>IF(H210="YES","'"&amp;INDEX('Structure Groups'!$C$12:$C$14,MATCH('Load Criteria'!$B$5,'Structure Groups'!$B$12:$B$14,0),1)&amp;"'","'All'")</f>
        <v>'GL Max 800m'</v>
      </c>
      <c r="AW210" s="552" t="s">
        <v>562</v>
      </c>
      <c r="AX210" s="552"/>
      <c r="AY210" s="552" t="str">
        <f t="shared" si="283"/>
        <v>Yes</v>
      </c>
      <c r="AZ210" s="554" t="str">
        <f>IF($AY210="No","",IF($L210="A","Ahead Spans","Back Spans"))</f>
        <v>Back Spans</v>
      </c>
      <c r="BA210" s="554" t="str">
        <f>IF(AZ210="","","% Wire Ice")</f>
        <v>% Wire Ice</v>
      </c>
      <c r="BB210" s="552">
        <f>IF(AZ210="","",40)</f>
        <v>40</v>
      </c>
      <c r="BC210" s="554" t="str">
        <f>IF($AY210="No","",IF($L210="A","Back Spans","Ahead Spans"))</f>
        <v>Ahead Spans</v>
      </c>
      <c r="BD210" s="554" t="str">
        <f t="shared" si="342"/>
        <v>% Wire Ice</v>
      </c>
      <c r="BE210" s="552">
        <f>IF(BB210="","",70)</f>
        <v>70</v>
      </c>
      <c r="BF210" s="554"/>
      <c r="BG210" s="554"/>
      <c r="BH210" s="554"/>
      <c r="BI210" s="554"/>
      <c r="BJ210" s="554"/>
      <c r="BK210" s="554"/>
      <c r="BL210" s="554"/>
      <c r="BM210" s="554"/>
      <c r="BN210" s="554"/>
      <c r="BO210" s="554"/>
      <c r="BP210" s="554"/>
      <c r="BQ210" s="554"/>
      <c r="BR210" s="554"/>
      <c r="BS210" s="554"/>
      <c r="BT210" s="554"/>
      <c r="BU210" s="554"/>
      <c r="BV210" s="554"/>
      <c r="BW210" s="554"/>
      <c r="BX210" s="554"/>
      <c r="BY210" s="554"/>
      <c r="BZ210" s="554"/>
      <c r="CA210" s="554"/>
      <c r="CB210" s="554"/>
      <c r="CC210" s="554"/>
      <c r="CD210" s="554"/>
      <c r="CE210" s="554"/>
      <c r="CF210" s="554"/>
      <c r="CG210" s="554"/>
      <c r="CH210" s="554"/>
      <c r="CI210" s="554"/>
      <c r="CJ210" s="554"/>
      <c r="CK210" s="554"/>
      <c r="CL210" s="554"/>
      <c r="CM210" s="554"/>
      <c r="CN210" s="554"/>
      <c r="CO210" s="554"/>
      <c r="CP210" s="554"/>
      <c r="CQ210" s="554"/>
      <c r="CR210" s="554"/>
      <c r="CS210" s="554"/>
      <c r="CT210" s="554"/>
      <c r="CU210" s="554"/>
      <c r="CV210" s="554"/>
      <c r="CW210" s="554"/>
      <c r="CX210" s="554"/>
      <c r="CY210" s="554"/>
      <c r="CZ210" s="554"/>
      <c r="DA210" s="554"/>
      <c r="DB210" s="554"/>
      <c r="DC210" s="554"/>
      <c r="DD210" s="554"/>
      <c r="DE210" s="534"/>
      <c r="DF210" s="534"/>
      <c r="DG210" s="534"/>
    </row>
    <row r="211" spans="1:111" ht="15" hidden="1" x14ac:dyDescent="0.25">
      <c r="A211" s="549">
        <f>IFERROR(IF(INDEX('Weather Cases'!$E$10:$E$94,MATCH('Load Criteria'!X211,'Weather Cases'!$H$10:$H$94,0),1)=1,1,"-"),"-")</f>
        <v>1</v>
      </c>
      <c r="B211" s="555" t="s">
        <v>558</v>
      </c>
      <c r="C211" s="556" t="str">
        <f>IF('Weather Cases'!$E$42=0,"","SC")</f>
        <v>SC</v>
      </c>
      <c r="D211" s="555" t="s">
        <v>567</v>
      </c>
      <c r="E211" s="556" t="s">
        <v>22</v>
      </c>
      <c r="F211" s="556" t="s">
        <v>22</v>
      </c>
      <c r="G211" s="556" t="str">
        <f>IFERROR(IF(MID('Load Criteria'!X211,FIND("_",'Load Criteria'!X211,1)+1,1)=LEFT(Control!$D$23,1),"YES","-"),"-")</f>
        <v>-</v>
      </c>
      <c r="H211" s="549" t="str">
        <f>IF(INDEX('Weather Cases'!$G$10:$G$94,MATCH('Load Criteria'!X211,'Weather Cases'!$H$10:$H$94,0),1)="H","YES","")</f>
        <v>YES</v>
      </c>
      <c r="I211" s="557" t="s">
        <v>323</v>
      </c>
      <c r="J211" s="550">
        <v>50</v>
      </c>
      <c r="K211" s="508" t="s">
        <v>571</v>
      </c>
      <c r="L211" s="508" t="s">
        <v>24</v>
      </c>
      <c r="M211" s="508">
        <v>1</v>
      </c>
      <c r="N211" s="508">
        <v>2</v>
      </c>
      <c r="O211" s="508"/>
      <c r="P211" s="395">
        <v>3</v>
      </c>
      <c r="Q211" s="395">
        <v>7</v>
      </c>
      <c r="R211" s="395">
        <v>8</v>
      </c>
      <c r="S211" s="395"/>
      <c r="T211" s="395"/>
      <c r="U211" s="255" t="s">
        <v>574</v>
      </c>
      <c r="V211" s="551" t="s">
        <v>300</v>
      </c>
      <c r="W211" s="542" t="str">
        <f t="shared" si="51"/>
        <v>EI0050_8+TA12 NA-</v>
      </c>
      <c r="X211" s="552" t="str">
        <f>I211&amp;TEXT(J211,"0000")&amp;"_"&amp;LEFT(Control!$D$22,LEN(Control!$D$22)-2)</f>
        <v>EI0050_8</v>
      </c>
      <c r="Y211" s="552" t="s">
        <v>433</v>
      </c>
      <c r="Z211" s="552" t="str">
        <f>U211</f>
        <v>NA-</v>
      </c>
      <c r="AA211" s="552"/>
      <c r="AB211" s="552">
        <v>1</v>
      </c>
      <c r="AC211" s="552">
        <v>1</v>
      </c>
      <c r="AD211" s="552">
        <v>1</v>
      </c>
      <c r="AE211" s="552">
        <v>1</v>
      </c>
      <c r="AF211" s="552">
        <v>1</v>
      </c>
      <c r="AG211" s="542" t="s">
        <v>561</v>
      </c>
      <c r="AH211" s="552">
        <v>0</v>
      </c>
      <c r="AI211" s="552">
        <v>0</v>
      </c>
      <c r="AJ211" s="552">
        <v>1</v>
      </c>
      <c r="AK211" s="552">
        <v>1</v>
      </c>
      <c r="AL211" s="552">
        <v>1</v>
      </c>
      <c r="AM211" s="552">
        <v>0</v>
      </c>
      <c r="AN211" s="552">
        <v>0</v>
      </c>
      <c r="AO211" s="552">
        <v>1</v>
      </c>
      <c r="AP211" s="552">
        <v>1</v>
      </c>
      <c r="AQ211" s="552">
        <v>1</v>
      </c>
      <c r="AR211" s="552">
        <v>1</v>
      </c>
      <c r="AS211" s="552">
        <v>1</v>
      </c>
      <c r="AT211" s="552">
        <v>1</v>
      </c>
      <c r="AU211" s="552"/>
      <c r="AV211" s="553" t="str">
        <f>IF(H211="YES","'"&amp;INDEX('Structure Groups'!$C$12:$C$14,MATCH('Load Criteria'!$B$5,'Structure Groups'!$B$12:$B$14,0),1)&amp;"'","'All'")</f>
        <v>'GL Max 800m'</v>
      </c>
      <c r="AW211" s="552" t="s">
        <v>562</v>
      </c>
      <c r="AX211" s="552"/>
      <c r="AY211" s="552" t="str">
        <f t="shared" si="283"/>
        <v>Yes</v>
      </c>
      <c r="AZ211" s="389" t="str">
        <f t="shared" ref="AZ211:AZ218" si="343">$M211&amp;":1:"&amp;IF($L211="A","Ahead","Back")</f>
        <v>1:1:Ahead</v>
      </c>
      <c r="BA211" s="554" t="s">
        <v>572</v>
      </c>
      <c r="BB211" s="391">
        <v>40</v>
      </c>
      <c r="BC211" s="579" t="str">
        <f t="shared" ref="BC211:BC218" si="344">$M211+10&amp;":1:"&amp;"Ahead"</f>
        <v>11:1:Ahead</v>
      </c>
      <c r="BD211" s="554" t="s">
        <v>572</v>
      </c>
      <c r="BE211" s="580">
        <f t="shared" ref="BE211" si="345">IF($L211="A",40,70)</f>
        <v>40</v>
      </c>
      <c r="BF211" s="389" t="str">
        <f t="shared" ref="BF211:BF218" si="346">$M211&amp;":1:"&amp;IF($L211="A","Back","Ahead")</f>
        <v>1:1:Back</v>
      </c>
      <c r="BG211" s="554" t="str">
        <f t="shared" ref="BG211:BG218" si="347">IF(BF211="","","% Wire Ice")</f>
        <v>% Wire Ice</v>
      </c>
      <c r="BH211" s="391">
        <v>70</v>
      </c>
      <c r="BI211" s="389" t="str">
        <f t="shared" ref="BI211:BI218" si="348">$N211&amp;":1:"&amp;IF($L211="A","Ahead","Back")</f>
        <v>2:1:Ahead</v>
      </c>
      <c r="BJ211" s="554" t="s">
        <v>572</v>
      </c>
      <c r="BK211" s="391">
        <v>40</v>
      </c>
      <c r="BL211" s="579" t="str">
        <f t="shared" ref="BL211" si="349">$N211+10&amp;":1:"&amp;"Ahead"</f>
        <v>12:1:Ahead</v>
      </c>
      <c r="BM211" s="554" t="s">
        <v>572</v>
      </c>
      <c r="BN211" s="580">
        <f t="shared" ref="BN211" si="350">IF($L211="A",40,70)</f>
        <v>40</v>
      </c>
      <c r="BO211" s="389" t="str">
        <f t="shared" ref="BO211:BO218" si="351">$N211&amp;":1:"&amp;IF($L211="A","Back","Ahead")</f>
        <v>2:1:Back</v>
      </c>
      <c r="BP211" s="554" t="str">
        <f t="shared" ref="BP211:BP218" si="352">IF(BO211="","","% Wire Ice")</f>
        <v>% Wire Ice</v>
      </c>
      <c r="BQ211" s="391">
        <v>70</v>
      </c>
      <c r="BR211" s="389" t="str">
        <f t="shared" ref="BR211:BR218" si="353">IF($O211="","",$O211&amp;":1:"&amp;IF($L211="A","Ahead","Back"))</f>
        <v/>
      </c>
      <c r="BS211" s="554" t="str">
        <f t="shared" ref="BS211:BS218" si="354">IF($O211="","","% Wire Ice")</f>
        <v/>
      </c>
      <c r="BT211" s="391" t="str">
        <f t="shared" ref="BT211:BT218" si="355">IF($O211="","",40)</f>
        <v/>
      </c>
      <c r="BU211" s="389" t="str">
        <f t="shared" ref="BU211:BU214" si="356">IF($O211="","",$O211+10&amp;":1:"&amp;IF($L211="A","Ahead","Back"))</f>
        <v/>
      </c>
      <c r="BV211" s="554" t="str">
        <f t="shared" ref="BV211:BV218" si="357">IF($O211="","","% Wire Ice")</f>
        <v/>
      </c>
      <c r="BW211" s="391" t="str">
        <f t="shared" ref="BW211:BW214" si="358">IF($O211="","",40)</f>
        <v/>
      </c>
      <c r="BX211" s="389" t="str">
        <f t="shared" ref="BX211:BX218" si="359">IF($O211="","",$O211&amp;":1:"&amp;IF($L211="A","Back","Ahead"))</f>
        <v/>
      </c>
      <c r="BY211" s="554" t="str">
        <f t="shared" ref="BY211:BY218" si="360">IF($O211="","","% Wire Ice")</f>
        <v/>
      </c>
      <c r="BZ211" s="391" t="str">
        <f t="shared" ref="BZ211:BZ218" si="361">IF($O211="","",70)</f>
        <v/>
      </c>
      <c r="CA211" s="389" t="str">
        <f t="shared" ref="CA211:CA218" si="362">IF($P211="","",$P211&amp;":1:Back+Ahead")</f>
        <v>3:1:Back+Ahead</v>
      </c>
      <c r="CB211" s="554" t="str">
        <f t="shared" ref="CB211:CB218" si="363">IF($P211="","","% Wire Ice")</f>
        <v>% Wire Ice</v>
      </c>
      <c r="CC211" s="391">
        <f t="shared" ref="CC211:CC218" si="364">IF($P211="","",70)</f>
        <v>70</v>
      </c>
      <c r="CD211" s="389" t="str">
        <f t="shared" ref="CD211:CD218" si="365">IF($P211="","",$P211+10&amp;":1:Ahead")</f>
        <v>13:1:Ahead</v>
      </c>
      <c r="CE211" s="554" t="str">
        <f t="shared" ref="CE211:CE218" si="366">IF($P211="","","% Wire Ice")</f>
        <v>% Wire Ice</v>
      </c>
      <c r="CF211" s="391">
        <f t="shared" ref="CF211:CF218" si="367">IF($P211="","",70)</f>
        <v>70</v>
      </c>
      <c r="CG211" s="389" t="str">
        <f t="shared" ref="CG211:CG218" si="368">IF($Q211="","",$Q211&amp;":1:Back+Ahead")</f>
        <v>7:1:Back+Ahead</v>
      </c>
      <c r="CH211" s="554" t="str">
        <f t="shared" ref="CH211:CH218" si="369">IF($Q211="","","% Wire Ice")</f>
        <v>% Wire Ice</v>
      </c>
      <c r="CI211" s="391">
        <f t="shared" ref="CI211:CI218" si="370">IF($Q211="","",70)</f>
        <v>70</v>
      </c>
      <c r="CJ211" s="389" t="str">
        <f t="shared" ref="CJ211:CJ218" si="371">IF($Q211="","",$Q211+10&amp;":1:Ahead")</f>
        <v>17:1:Ahead</v>
      </c>
      <c r="CK211" s="554" t="str">
        <f t="shared" ref="CK211:CK218" si="372">IF($Q211="","","% Wire Ice")</f>
        <v>% Wire Ice</v>
      </c>
      <c r="CL211" s="391">
        <f t="shared" ref="CL211:CL218" si="373">IF($Q211="","",70)</f>
        <v>70</v>
      </c>
      <c r="CM211" s="389" t="str">
        <f t="shared" ref="CM211:CM218" si="374">IF($R211="","",$R211&amp;":1:Back+Ahead")</f>
        <v>8:1:Back+Ahead</v>
      </c>
      <c r="CN211" s="554" t="str">
        <f t="shared" ref="CN211:CN218" si="375">IF($R211="","","% Wire Ice")</f>
        <v>% Wire Ice</v>
      </c>
      <c r="CO211" s="391">
        <f t="shared" ref="CO211:CO218" si="376">IF($R211="","",70)</f>
        <v>70</v>
      </c>
      <c r="CP211" s="554" t="str">
        <f t="shared" ref="CP211:CP218" si="377">IF($R211="","",$R211+10&amp;":1:Ahead")</f>
        <v>18:1:Ahead</v>
      </c>
      <c r="CQ211" s="554" t="str">
        <f t="shared" ref="CQ211:CQ218" si="378">IF($R211="","","% Wire Ice")</f>
        <v>% Wire Ice</v>
      </c>
      <c r="CR211" s="554">
        <f t="shared" ref="CR211:CR218" si="379">IF($R211="","",70)</f>
        <v>70</v>
      </c>
      <c r="CS211" s="554" t="str">
        <f t="shared" ref="CS211:CS218" si="380">IF($S211="","",$S211&amp;":1:Back+Ahead")</f>
        <v/>
      </c>
      <c r="CT211" s="554" t="str">
        <f t="shared" ref="CT211:CT218" si="381">IF($S211="","","% Wire Ice")</f>
        <v/>
      </c>
      <c r="CU211" s="554" t="str">
        <f t="shared" ref="CU211:CU218" si="382">IF($S211="","",70)</f>
        <v/>
      </c>
      <c r="CV211" s="554" t="str">
        <f t="shared" ref="CV211:CV218" si="383">IF($S211="","",$S211+10&amp;":1:Ahead")</f>
        <v/>
      </c>
      <c r="CW211" s="554" t="str">
        <f t="shared" ref="CW211:CW218" si="384">IF($S211="","","% Wire Ice")</f>
        <v/>
      </c>
      <c r="CX211" s="554" t="str">
        <f t="shared" ref="CX211:CX218" si="385">IF($S211="","",70)</f>
        <v/>
      </c>
      <c r="CY211" s="554" t="str">
        <f t="shared" ref="CY211:CY218" si="386">IF($T211="","",$T211&amp;":1:Back+Ahead")</f>
        <v/>
      </c>
      <c r="CZ211" s="554" t="str">
        <f t="shared" ref="CZ211:CZ218" si="387">IF($T211="","","% Wire Ice")</f>
        <v/>
      </c>
      <c r="DA211" s="554" t="str">
        <f t="shared" ref="DA211:DA218" si="388">IF($T211="","",70)</f>
        <v/>
      </c>
      <c r="DB211" s="554" t="str">
        <f t="shared" ref="DB211:DB218" si="389">IF($T211="","",$T211+10&amp;":1:Ahead")</f>
        <v/>
      </c>
      <c r="DC211" s="554" t="str">
        <f t="shared" ref="DC211:DC218" si="390">IF($T211="","","% Wire Ice")</f>
        <v/>
      </c>
      <c r="DD211" s="554" t="str">
        <f t="shared" ref="DD211:DD218" si="391">IF($T211="","",70)</f>
        <v/>
      </c>
      <c r="DE211" s="534"/>
      <c r="DF211" s="534"/>
      <c r="DG211" s="534"/>
    </row>
    <row r="212" spans="1:111" ht="15" hidden="1" x14ac:dyDescent="0.25">
      <c r="A212" s="549">
        <f>IFERROR(IF(INDEX('Weather Cases'!$E$10:$E$94,MATCH('Load Criteria'!X212,'Weather Cases'!$H$10:$H$94,0),1)=1,1,"-"),"-")</f>
        <v>1</v>
      </c>
      <c r="B212" s="555" t="s">
        <v>558</v>
      </c>
      <c r="C212" s="556" t="str">
        <f>IF('Weather Cases'!$E$42=0,"","SC")</f>
        <v>SC</v>
      </c>
      <c r="D212" s="555" t="s">
        <v>567</v>
      </c>
      <c r="E212" s="556" t="s">
        <v>22</v>
      </c>
      <c r="F212" s="556" t="s">
        <v>22</v>
      </c>
      <c r="G212" s="556" t="str">
        <f>IFERROR(IF(MID('Load Criteria'!X212,FIND("_",'Load Criteria'!X212,1)+1,1)=LEFT(Control!$D$23,1),"YES","-"),"-")</f>
        <v>-</v>
      </c>
      <c r="H212" s="549" t="str">
        <f>IF(INDEX('Weather Cases'!$G$10:$G$94,MATCH('Load Criteria'!X212,'Weather Cases'!$H$10:$H$94,0),1)="H","YES","")</f>
        <v>YES</v>
      </c>
      <c r="I212" s="557" t="s">
        <v>323</v>
      </c>
      <c r="J212" s="550">
        <v>50</v>
      </c>
      <c r="K212" s="508" t="s">
        <v>571</v>
      </c>
      <c r="L212" s="508" t="s">
        <v>40</v>
      </c>
      <c r="M212" s="508">
        <v>1</v>
      </c>
      <c r="N212" s="508">
        <v>2</v>
      </c>
      <c r="O212" s="508"/>
      <c r="P212" s="395">
        <v>3</v>
      </c>
      <c r="Q212" s="395">
        <v>7</v>
      </c>
      <c r="R212" s="395">
        <v>8</v>
      </c>
      <c r="S212" s="395"/>
      <c r="T212" s="395"/>
      <c r="U212" s="255" t="s">
        <v>574</v>
      </c>
      <c r="V212" s="551" t="s">
        <v>300</v>
      </c>
      <c r="W212" s="542" t="str">
        <f t="shared" si="51"/>
        <v>EI0050_8+TB12 NA-</v>
      </c>
      <c r="X212" s="552" t="str">
        <f>I212&amp;TEXT(J212,"0000")&amp;"_"&amp;LEFT(Control!$D$22,LEN(Control!$D$22)-2)</f>
        <v>EI0050_8</v>
      </c>
      <c r="Y212" s="552" t="s">
        <v>433</v>
      </c>
      <c r="Z212" s="552" t="str">
        <f>U212</f>
        <v>NA-</v>
      </c>
      <c r="AA212" s="552"/>
      <c r="AB212" s="552">
        <v>1</v>
      </c>
      <c r="AC212" s="552">
        <v>1</v>
      </c>
      <c r="AD212" s="552">
        <v>1</v>
      </c>
      <c r="AE212" s="552">
        <v>1</v>
      </c>
      <c r="AF212" s="552">
        <v>1</v>
      </c>
      <c r="AG212" s="542" t="s">
        <v>561</v>
      </c>
      <c r="AH212" s="552">
        <v>0</v>
      </c>
      <c r="AI212" s="552">
        <v>0</v>
      </c>
      <c r="AJ212" s="552">
        <v>1</v>
      </c>
      <c r="AK212" s="552">
        <v>1</v>
      </c>
      <c r="AL212" s="552">
        <v>1</v>
      </c>
      <c r="AM212" s="552">
        <v>0</v>
      </c>
      <c r="AN212" s="552">
        <v>0</v>
      </c>
      <c r="AO212" s="552">
        <v>1</v>
      </c>
      <c r="AP212" s="552">
        <v>1</v>
      </c>
      <c r="AQ212" s="552">
        <v>1</v>
      </c>
      <c r="AR212" s="552">
        <v>1</v>
      </c>
      <c r="AS212" s="552">
        <v>1</v>
      </c>
      <c r="AT212" s="552">
        <v>1</v>
      </c>
      <c r="AU212" s="552"/>
      <c r="AV212" s="553" t="str">
        <f>IF(H212="YES","'"&amp;INDEX('Structure Groups'!$C$12:$C$14,MATCH('Load Criteria'!$B$5,'Structure Groups'!$B$12:$B$14,0),1)&amp;"'","'All'")</f>
        <v>'GL Max 800m'</v>
      </c>
      <c r="AW212" s="552" t="s">
        <v>562</v>
      </c>
      <c r="AX212" s="552"/>
      <c r="AY212" s="552" t="str">
        <f t="shared" si="283"/>
        <v>Yes</v>
      </c>
      <c r="AZ212" s="389" t="str">
        <f t="shared" si="343"/>
        <v>1:1:Back</v>
      </c>
      <c r="BA212" s="554" t="s">
        <v>572</v>
      </c>
      <c r="BB212" s="391">
        <v>40</v>
      </c>
      <c r="BC212" s="579" t="str">
        <f>$M212+10&amp;":1:"&amp;"Ahead"</f>
        <v>11:1:Ahead</v>
      </c>
      <c r="BD212" s="554" t="s">
        <v>572</v>
      </c>
      <c r="BE212" s="580">
        <f>IF($L212="A",40,70)</f>
        <v>70</v>
      </c>
      <c r="BF212" s="389" t="str">
        <f t="shared" si="346"/>
        <v>1:1:Ahead</v>
      </c>
      <c r="BG212" s="554" t="str">
        <f t="shared" si="347"/>
        <v>% Wire Ice</v>
      </c>
      <c r="BH212" s="391">
        <v>70</v>
      </c>
      <c r="BI212" s="389" t="str">
        <f t="shared" si="348"/>
        <v>2:1:Back</v>
      </c>
      <c r="BJ212" s="554" t="s">
        <v>572</v>
      </c>
      <c r="BK212" s="391">
        <v>40</v>
      </c>
      <c r="BL212" s="579" t="str">
        <f>$N212+10&amp;":1:"&amp;"Ahead"</f>
        <v>12:1:Ahead</v>
      </c>
      <c r="BM212" s="554" t="s">
        <v>572</v>
      </c>
      <c r="BN212" s="580">
        <f>IF($L212="A",40,70)</f>
        <v>70</v>
      </c>
      <c r="BO212" s="389" t="str">
        <f t="shared" si="351"/>
        <v>2:1:Ahead</v>
      </c>
      <c r="BP212" s="554" t="str">
        <f t="shared" si="352"/>
        <v>% Wire Ice</v>
      </c>
      <c r="BQ212" s="391">
        <v>70</v>
      </c>
      <c r="BR212" s="389" t="str">
        <f t="shared" si="353"/>
        <v/>
      </c>
      <c r="BS212" s="554" t="str">
        <f t="shared" si="354"/>
        <v/>
      </c>
      <c r="BT212" s="391" t="str">
        <f t="shared" si="355"/>
        <v/>
      </c>
      <c r="BU212" s="389" t="str">
        <f t="shared" si="356"/>
        <v/>
      </c>
      <c r="BV212" s="554" t="str">
        <f t="shared" si="357"/>
        <v/>
      </c>
      <c r="BW212" s="391" t="str">
        <f t="shared" si="358"/>
        <v/>
      </c>
      <c r="BX212" s="389" t="str">
        <f t="shared" si="359"/>
        <v/>
      </c>
      <c r="BY212" s="554" t="str">
        <f t="shared" si="360"/>
        <v/>
      </c>
      <c r="BZ212" s="391" t="str">
        <f t="shared" si="361"/>
        <v/>
      </c>
      <c r="CA212" s="389" t="str">
        <f t="shared" si="362"/>
        <v>3:1:Back+Ahead</v>
      </c>
      <c r="CB212" s="554" t="str">
        <f t="shared" si="363"/>
        <v>% Wire Ice</v>
      </c>
      <c r="CC212" s="391">
        <f t="shared" si="364"/>
        <v>70</v>
      </c>
      <c r="CD212" s="389" t="str">
        <f t="shared" si="365"/>
        <v>13:1:Ahead</v>
      </c>
      <c r="CE212" s="554" t="str">
        <f t="shared" si="366"/>
        <v>% Wire Ice</v>
      </c>
      <c r="CF212" s="391">
        <f t="shared" si="367"/>
        <v>70</v>
      </c>
      <c r="CG212" s="389" t="str">
        <f t="shared" si="368"/>
        <v>7:1:Back+Ahead</v>
      </c>
      <c r="CH212" s="554" t="str">
        <f t="shared" si="369"/>
        <v>% Wire Ice</v>
      </c>
      <c r="CI212" s="391">
        <f t="shared" si="370"/>
        <v>70</v>
      </c>
      <c r="CJ212" s="389" t="str">
        <f t="shared" si="371"/>
        <v>17:1:Ahead</v>
      </c>
      <c r="CK212" s="554" t="str">
        <f t="shared" si="372"/>
        <v>% Wire Ice</v>
      </c>
      <c r="CL212" s="391">
        <f t="shared" si="373"/>
        <v>70</v>
      </c>
      <c r="CM212" s="389" t="str">
        <f t="shared" si="374"/>
        <v>8:1:Back+Ahead</v>
      </c>
      <c r="CN212" s="554" t="str">
        <f t="shared" si="375"/>
        <v>% Wire Ice</v>
      </c>
      <c r="CO212" s="391">
        <f t="shared" si="376"/>
        <v>70</v>
      </c>
      <c r="CP212" s="554" t="str">
        <f t="shared" si="377"/>
        <v>18:1:Ahead</v>
      </c>
      <c r="CQ212" s="554" t="str">
        <f t="shared" si="378"/>
        <v>% Wire Ice</v>
      </c>
      <c r="CR212" s="554">
        <f t="shared" si="379"/>
        <v>70</v>
      </c>
      <c r="CS212" s="554" t="str">
        <f t="shared" si="380"/>
        <v/>
      </c>
      <c r="CT212" s="554" t="str">
        <f t="shared" si="381"/>
        <v/>
      </c>
      <c r="CU212" s="554" t="str">
        <f t="shared" si="382"/>
        <v/>
      </c>
      <c r="CV212" s="554" t="str">
        <f t="shared" si="383"/>
        <v/>
      </c>
      <c r="CW212" s="554" t="str">
        <f t="shared" si="384"/>
        <v/>
      </c>
      <c r="CX212" s="554" t="str">
        <f t="shared" si="385"/>
        <v/>
      </c>
      <c r="CY212" s="554" t="str">
        <f t="shared" si="386"/>
        <v/>
      </c>
      <c r="CZ212" s="554" t="str">
        <f t="shared" si="387"/>
        <v/>
      </c>
      <c r="DA212" s="554" t="str">
        <f t="shared" si="388"/>
        <v/>
      </c>
      <c r="DB212" s="554" t="str">
        <f t="shared" si="389"/>
        <v/>
      </c>
      <c r="DC212" s="554" t="str">
        <f t="shared" si="390"/>
        <v/>
      </c>
      <c r="DD212" s="554" t="str">
        <f t="shared" si="391"/>
        <v/>
      </c>
      <c r="DE212" s="534"/>
      <c r="DF212" s="534"/>
      <c r="DG212" s="534"/>
    </row>
    <row r="213" spans="1:111" ht="15" hidden="1" x14ac:dyDescent="0.25">
      <c r="A213" s="549">
        <f>IFERROR(IF(INDEX('Weather Cases'!$E$10:$E$94,MATCH('Load Criteria'!X213,'Weather Cases'!$H$10:$H$94,0),1)=1,1,"-"),"-")</f>
        <v>1</v>
      </c>
      <c r="B213" s="555" t="s">
        <v>558</v>
      </c>
      <c r="C213" s="556" t="str">
        <f>IF('Weather Cases'!$E$42=0,"","SC")</f>
        <v>SC</v>
      </c>
      <c r="D213" s="555" t="s">
        <v>567</v>
      </c>
      <c r="E213" s="556" t="s">
        <v>22</v>
      </c>
      <c r="F213" s="556" t="s">
        <v>22</v>
      </c>
      <c r="G213" s="556" t="str">
        <f>IFERROR(IF(MID('Load Criteria'!X213,FIND("_",'Load Criteria'!X213,1)+1,1)=LEFT(Control!$D$23,1),"YES","-"),"-")</f>
        <v>-</v>
      </c>
      <c r="H213" s="549" t="str">
        <f>IF(INDEX('Weather Cases'!$G$10:$G$94,MATCH('Load Criteria'!X213,'Weather Cases'!$H$10:$H$94,0),1)="H","YES","")</f>
        <v>YES</v>
      </c>
      <c r="I213" s="557" t="s">
        <v>323</v>
      </c>
      <c r="J213" s="550">
        <v>50</v>
      </c>
      <c r="K213" s="508" t="s">
        <v>571</v>
      </c>
      <c r="L213" s="508" t="s">
        <v>24</v>
      </c>
      <c r="M213" s="508">
        <v>2</v>
      </c>
      <c r="N213" s="508">
        <v>3</v>
      </c>
      <c r="O213" s="508"/>
      <c r="P213" s="395">
        <v>1</v>
      </c>
      <c r="Q213" s="395">
        <v>7</v>
      </c>
      <c r="R213" s="395">
        <v>8</v>
      </c>
      <c r="S213" s="395"/>
      <c r="T213" s="395"/>
      <c r="U213" s="255" t="s">
        <v>574</v>
      </c>
      <c r="V213" s="551" t="s">
        <v>300</v>
      </c>
      <c r="W213" s="542" t="str">
        <f t="shared" si="51"/>
        <v>EI0050_8+TA23 NA-</v>
      </c>
      <c r="X213" s="552" t="str">
        <f>I213&amp;TEXT(J213,"0000")&amp;"_"&amp;LEFT(Control!$D$22,LEN(Control!$D$22)-2)</f>
        <v>EI0050_8</v>
      </c>
      <c r="Y213" s="552" t="s">
        <v>433</v>
      </c>
      <c r="Z213" s="552" t="str">
        <f t="shared" ref="Z213:Z218" si="392">U213</f>
        <v>NA-</v>
      </c>
      <c r="AA213" s="552"/>
      <c r="AB213" s="552">
        <v>1</v>
      </c>
      <c r="AC213" s="552">
        <v>1</v>
      </c>
      <c r="AD213" s="552">
        <v>1</v>
      </c>
      <c r="AE213" s="552">
        <v>1</v>
      </c>
      <c r="AF213" s="552">
        <v>1</v>
      </c>
      <c r="AG213" s="542" t="s">
        <v>561</v>
      </c>
      <c r="AH213" s="552">
        <v>0</v>
      </c>
      <c r="AI213" s="552">
        <v>0</v>
      </c>
      <c r="AJ213" s="552">
        <v>1</v>
      </c>
      <c r="AK213" s="552">
        <v>1</v>
      </c>
      <c r="AL213" s="552">
        <v>1</v>
      </c>
      <c r="AM213" s="552">
        <v>0</v>
      </c>
      <c r="AN213" s="552">
        <v>0</v>
      </c>
      <c r="AO213" s="552">
        <v>1</v>
      </c>
      <c r="AP213" s="552">
        <v>1</v>
      </c>
      <c r="AQ213" s="552">
        <v>1</v>
      </c>
      <c r="AR213" s="552">
        <v>1</v>
      </c>
      <c r="AS213" s="552">
        <v>1</v>
      </c>
      <c r="AT213" s="552">
        <v>1</v>
      </c>
      <c r="AU213" s="552"/>
      <c r="AV213" s="553" t="str">
        <f>IF(H213="YES","'"&amp;INDEX('Structure Groups'!$C$12:$C$14,MATCH('Load Criteria'!$B$5,'Structure Groups'!$B$12:$B$14,0),1)&amp;"'","'All'")</f>
        <v>'GL Max 800m'</v>
      </c>
      <c r="AW213" s="552" t="s">
        <v>562</v>
      </c>
      <c r="AX213" s="552"/>
      <c r="AY213" s="552" t="str">
        <f t="shared" si="283"/>
        <v>Yes</v>
      </c>
      <c r="AZ213" s="389" t="str">
        <f t="shared" si="343"/>
        <v>2:1:Ahead</v>
      </c>
      <c r="BA213" s="554" t="s">
        <v>572</v>
      </c>
      <c r="BB213" s="391">
        <v>40</v>
      </c>
      <c r="BC213" s="579" t="str">
        <f t="shared" ref="BC213:BC214" si="393">$M213+10&amp;":1:"&amp;"Ahead"</f>
        <v>12:1:Ahead</v>
      </c>
      <c r="BD213" s="554" t="s">
        <v>572</v>
      </c>
      <c r="BE213" s="580">
        <f t="shared" ref="BE213:BE218" si="394">IF($L213="A",40,70)</f>
        <v>40</v>
      </c>
      <c r="BF213" s="389" t="str">
        <f t="shared" si="346"/>
        <v>2:1:Back</v>
      </c>
      <c r="BG213" s="554" t="str">
        <f t="shared" si="347"/>
        <v>% Wire Ice</v>
      </c>
      <c r="BH213" s="391">
        <v>70</v>
      </c>
      <c r="BI213" s="389" t="str">
        <f t="shared" si="348"/>
        <v>3:1:Ahead</v>
      </c>
      <c r="BJ213" s="554" t="s">
        <v>572</v>
      </c>
      <c r="BK213" s="391">
        <v>40</v>
      </c>
      <c r="BL213" s="579" t="str">
        <f t="shared" ref="BL213:BL214" si="395">$N213+10&amp;":1:"&amp;"Ahead"</f>
        <v>13:1:Ahead</v>
      </c>
      <c r="BM213" s="554" t="s">
        <v>572</v>
      </c>
      <c r="BN213" s="580">
        <f t="shared" ref="BN213:BN218" si="396">IF($L213="A",40,70)</f>
        <v>40</v>
      </c>
      <c r="BO213" s="389" t="str">
        <f t="shared" si="351"/>
        <v>3:1:Back</v>
      </c>
      <c r="BP213" s="554" t="str">
        <f t="shared" si="352"/>
        <v>% Wire Ice</v>
      </c>
      <c r="BQ213" s="391">
        <v>70</v>
      </c>
      <c r="BR213" s="389" t="str">
        <f t="shared" si="353"/>
        <v/>
      </c>
      <c r="BS213" s="554" t="str">
        <f t="shared" si="354"/>
        <v/>
      </c>
      <c r="BT213" s="391" t="str">
        <f t="shared" si="355"/>
        <v/>
      </c>
      <c r="BU213" s="389" t="str">
        <f t="shared" si="356"/>
        <v/>
      </c>
      <c r="BV213" s="554" t="str">
        <f t="shared" si="357"/>
        <v/>
      </c>
      <c r="BW213" s="391" t="str">
        <f t="shared" si="358"/>
        <v/>
      </c>
      <c r="BX213" s="389" t="str">
        <f t="shared" si="359"/>
        <v/>
      </c>
      <c r="BY213" s="554" t="str">
        <f t="shared" si="360"/>
        <v/>
      </c>
      <c r="BZ213" s="391" t="str">
        <f t="shared" si="361"/>
        <v/>
      </c>
      <c r="CA213" s="389" t="str">
        <f t="shared" si="362"/>
        <v>1:1:Back+Ahead</v>
      </c>
      <c r="CB213" s="554" t="str">
        <f t="shared" si="363"/>
        <v>% Wire Ice</v>
      </c>
      <c r="CC213" s="391">
        <f t="shared" si="364"/>
        <v>70</v>
      </c>
      <c r="CD213" s="389" t="str">
        <f t="shared" si="365"/>
        <v>11:1:Ahead</v>
      </c>
      <c r="CE213" s="554" t="str">
        <f t="shared" si="366"/>
        <v>% Wire Ice</v>
      </c>
      <c r="CF213" s="391">
        <f t="shared" si="367"/>
        <v>70</v>
      </c>
      <c r="CG213" s="389" t="str">
        <f t="shared" si="368"/>
        <v>7:1:Back+Ahead</v>
      </c>
      <c r="CH213" s="554" t="str">
        <f t="shared" si="369"/>
        <v>% Wire Ice</v>
      </c>
      <c r="CI213" s="391">
        <f t="shared" si="370"/>
        <v>70</v>
      </c>
      <c r="CJ213" s="389" t="str">
        <f t="shared" si="371"/>
        <v>17:1:Ahead</v>
      </c>
      <c r="CK213" s="554" t="str">
        <f t="shared" si="372"/>
        <v>% Wire Ice</v>
      </c>
      <c r="CL213" s="391">
        <f t="shared" si="373"/>
        <v>70</v>
      </c>
      <c r="CM213" s="389" t="str">
        <f t="shared" si="374"/>
        <v>8:1:Back+Ahead</v>
      </c>
      <c r="CN213" s="554" t="str">
        <f t="shared" si="375"/>
        <v>% Wire Ice</v>
      </c>
      <c r="CO213" s="391">
        <f t="shared" si="376"/>
        <v>70</v>
      </c>
      <c r="CP213" s="554" t="str">
        <f t="shared" si="377"/>
        <v>18:1:Ahead</v>
      </c>
      <c r="CQ213" s="554" t="str">
        <f t="shared" si="378"/>
        <v>% Wire Ice</v>
      </c>
      <c r="CR213" s="554">
        <f t="shared" si="379"/>
        <v>70</v>
      </c>
      <c r="CS213" s="554" t="str">
        <f t="shared" si="380"/>
        <v/>
      </c>
      <c r="CT213" s="554" t="str">
        <f t="shared" si="381"/>
        <v/>
      </c>
      <c r="CU213" s="554" t="str">
        <f t="shared" si="382"/>
        <v/>
      </c>
      <c r="CV213" s="554" t="str">
        <f t="shared" si="383"/>
        <v/>
      </c>
      <c r="CW213" s="554" t="str">
        <f t="shared" si="384"/>
        <v/>
      </c>
      <c r="CX213" s="554" t="str">
        <f t="shared" si="385"/>
        <v/>
      </c>
      <c r="CY213" s="554" t="str">
        <f t="shared" si="386"/>
        <v/>
      </c>
      <c r="CZ213" s="554" t="str">
        <f t="shared" si="387"/>
        <v/>
      </c>
      <c r="DA213" s="554" t="str">
        <f t="shared" si="388"/>
        <v/>
      </c>
      <c r="DB213" s="554" t="str">
        <f t="shared" si="389"/>
        <v/>
      </c>
      <c r="DC213" s="554" t="str">
        <f t="shared" si="390"/>
        <v/>
      </c>
      <c r="DD213" s="554" t="str">
        <f t="shared" si="391"/>
        <v/>
      </c>
      <c r="DE213" s="534"/>
      <c r="DF213" s="534"/>
      <c r="DG213" s="534"/>
    </row>
    <row r="214" spans="1:111" ht="15" hidden="1" x14ac:dyDescent="0.25">
      <c r="A214" s="549">
        <f>IFERROR(IF(INDEX('Weather Cases'!$E$10:$E$94,MATCH('Load Criteria'!X214,'Weather Cases'!$H$10:$H$94,0),1)=1,1,"-"),"-")</f>
        <v>1</v>
      </c>
      <c r="B214" s="555" t="s">
        <v>558</v>
      </c>
      <c r="C214" s="556" t="str">
        <f>IF('Weather Cases'!$E$42=0,"","SC")</f>
        <v>SC</v>
      </c>
      <c r="D214" s="555" t="s">
        <v>567</v>
      </c>
      <c r="E214" s="556" t="s">
        <v>22</v>
      </c>
      <c r="F214" s="556" t="s">
        <v>22</v>
      </c>
      <c r="G214" s="556" t="str">
        <f>IFERROR(IF(MID('Load Criteria'!X214,FIND("_",'Load Criteria'!X214,1)+1,1)=LEFT(Control!$D$23,1),"YES","-"),"-")</f>
        <v>-</v>
      </c>
      <c r="H214" s="549" t="str">
        <f>IF(INDEX('Weather Cases'!$G$10:$G$94,MATCH('Load Criteria'!X214,'Weather Cases'!$H$10:$H$94,0),1)="H","YES","")</f>
        <v>YES</v>
      </c>
      <c r="I214" s="557" t="s">
        <v>323</v>
      </c>
      <c r="J214" s="550">
        <v>50</v>
      </c>
      <c r="K214" s="508" t="s">
        <v>571</v>
      </c>
      <c r="L214" s="508" t="s">
        <v>40</v>
      </c>
      <c r="M214" s="508">
        <v>2</v>
      </c>
      <c r="N214" s="508">
        <v>3</v>
      </c>
      <c r="O214" s="508"/>
      <c r="P214" s="395">
        <v>1</v>
      </c>
      <c r="Q214" s="395">
        <v>7</v>
      </c>
      <c r="R214" s="395">
        <v>8</v>
      </c>
      <c r="S214" s="395"/>
      <c r="T214" s="395"/>
      <c r="U214" s="255" t="s">
        <v>574</v>
      </c>
      <c r="V214" s="551" t="s">
        <v>300</v>
      </c>
      <c r="W214" s="542" t="str">
        <f t="shared" si="51"/>
        <v>EI0050_8+TB23 NA-</v>
      </c>
      <c r="X214" s="552" t="str">
        <f>I214&amp;TEXT(J214,"0000")&amp;"_"&amp;LEFT(Control!$D$22,LEN(Control!$D$22)-2)</f>
        <v>EI0050_8</v>
      </c>
      <c r="Y214" s="552" t="s">
        <v>433</v>
      </c>
      <c r="Z214" s="552" t="str">
        <f t="shared" si="392"/>
        <v>NA-</v>
      </c>
      <c r="AA214" s="552"/>
      <c r="AB214" s="552">
        <v>1</v>
      </c>
      <c r="AC214" s="552">
        <v>1</v>
      </c>
      <c r="AD214" s="552">
        <v>1</v>
      </c>
      <c r="AE214" s="552">
        <v>1</v>
      </c>
      <c r="AF214" s="552">
        <v>1</v>
      </c>
      <c r="AG214" s="542" t="s">
        <v>561</v>
      </c>
      <c r="AH214" s="552">
        <v>0</v>
      </c>
      <c r="AI214" s="552">
        <v>0</v>
      </c>
      <c r="AJ214" s="552">
        <v>1</v>
      </c>
      <c r="AK214" s="552">
        <v>1</v>
      </c>
      <c r="AL214" s="552">
        <v>1</v>
      </c>
      <c r="AM214" s="552">
        <v>0</v>
      </c>
      <c r="AN214" s="552">
        <v>0</v>
      </c>
      <c r="AO214" s="552">
        <v>1</v>
      </c>
      <c r="AP214" s="552">
        <v>1</v>
      </c>
      <c r="AQ214" s="552">
        <v>1</v>
      </c>
      <c r="AR214" s="552">
        <v>1</v>
      </c>
      <c r="AS214" s="552">
        <v>1</v>
      </c>
      <c r="AT214" s="552">
        <v>1</v>
      </c>
      <c r="AU214" s="552"/>
      <c r="AV214" s="553" t="str">
        <f>IF(H214="YES","'"&amp;INDEX('Structure Groups'!$C$12:$C$14,MATCH('Load Criteria'!$B$5,'Structure Groups'!$B$12:$B$14,0),1)&amp;"'","'All'")</f>
        <v>'GL Max 800m'</v>
      </c>
      <c r="AW214" s="552" t="s">
        <v>562</v>
      </c>
      <c r="AX214" s="552"/>
      <c r="AY214" s="552" t="str">
        <f t="shared" si="283"/>
        <v>Yes</v>
      </c>
      <c r="AZ214" s="389" t="str">
        <f t="shared" si="343"/>
        <v>2:1:Back</v>
      </c>
      <c r="BA214" s="554" t="s">
        <v>572</v>
      </c>
      <c r="BB214" s="391">
        <v>40</v>
      </c>
      <c r="BC214" s="579" t="str">
        <f t="shared" si="393"/>
        <v>12:1:Ahead</v>
      </c>
      <c r="BD214" s="554" t="s">
        <v>572</v>
      </c>
      <c r="BE214" s="580">
        <f t="shared" si="394"/>
        <v>70</v>
      </c>
      <c r="BF214" s="389" t="str">
        <f t="shared" si="346"/>
        <v>2:1:Ahead</v>
      </c>
      <c r="BG214" s="554" t="str">
        <f t="shared" si="347"/>
        <v>% Wire Ice</v>
      </c>
      <c r="BH214" s="391">
        <v>70</v>
      </c>
      <c r="BI214" s="389" t="str">
        <f t="shared" si="348"/>
        <v>3:1:Back</v>
      </c>
      <c r="BJ214" s="554" t="s">
        <v>572</v>
      </c>
      <c r="BK214" s="391">
        <v>40</v>
      </c>
      <c r="BL214" s="579" t="str">
        <f t="shared" si="395"/>
        <v>13:1:Ahead</v>
      </c>
      <c r="BM214" s="554" t="s">
        <v>572</v>
      </c>
      <c r="BN214" s="580">
        <f t="shared" si="396"/>
        <v>70</v>
      </c>
      <c r="BO214" s="389" t="str">
        <f t="shared" si="351"/>
        <v>3:1:Ahead</v>
      </c>
      <c r="BP214" s="554" t="str">
        <f t="shared" si="352"/>
        <v>% Wire Ice</v>
      </c>
      <c r="BQ214" s="391">
        <v>70</v>
      </c>
      <c r="BR214" s="389" t="str">
        <f t="shared" si="353"/>
        <v/>
      </c>
      <c r="BS214" s="554" t="str">
        <f t="shared" si="354"/>
        <v/>
      </c>
      <c r="BT214" s="391" t="str">
        <f t="shared" si="355"/>
        <v/>
      </c>
      <c r="BU214" s="389" t="str">
        <f t="shared" si="356"/>
        <v/>
      </c>
      <c r="BV214" s="554" t="str">
        <f t="shared" si="357"/>
        <v/>
      </c>
      <c r="BW214" s="391" t="str">
        <f t="shared" si="358"/>
        <v/>
      </c>
      <c r="BX214" s="389" t="str">
        <f t="shared" si="359"/>
        <v/>
      </c>
      <c r="BY214" s="554" t="str">
        <f t="shared" si="360"/>
        <v/>
      </c>
      <c r="BZ214" s="391" t="str">
        <f t="shared" si="361"/>
        <v/>
      </c>
      <c r="CA214" s="389" t="str">
        <f t="shared" si="362"/>
        <v>1:1:Back+Ahead</v>
      </c>
      <c r="CB214" s="554" t="str">
        <f t="shared" si="363"/>
        <v>% Wire Ice</v>
      </c>
      <c r="CC214" s="391">
        <f t="shared" si="364"/>
        <v>70</v>
      </c>
      <c r="CD214" s="389" t="str">
        <f t="shared" si="365"/>
        <v>11:1:Ahead</v>
      </c>
      <c r="CE214" s="554" t="str">
        <f t="shared" si="366"/>
        <v>% Wire Ice</v>
      </c>
      <c r="CF214" s="391">
        <f t="shared" si="367"/>
        <v>70</v>
      </c>
      <c r="CG214" s="389" t="str">
        <f t="shared" si="368"/>
        <v>7:1:Back+Ahead</v>
      </c>
      <c r="CH214" s="554" t="str">
        <f t="shared" si="369"/>
        <v>% Wire Ice</v>
      </c>
      <c r="CI214" s="391">
        <f t="shared" si="370"/>
        <v>70</v>
      </c>
      <c r="CJ214" s="389" t="str">
        <f t="shared" si="371"/>
        <v>17:1:Ahead</v>
      </c>
      <c r="CK214" s="554" t="str">
        <f t="shared" si="372"/>
        <v>% Wire Ice</v>
      </c>
      <c r="CL214" s="391">
        <f t="shared" si="373"/>
        <v>70</v>
      </c>
      <c r="CM214" s="389" t="str">
        <f t="shared" si="374"/>
        <v>8:1:Back+Ahead</v>
      </c>
      <c r="CN214" s="554" t="str">
        <f t="shared" si="375"/>
        <v>% Wire Ice</v>
      </c>
      <c r="CO214" s="391">
        <f t="shared" si="376"/>
        <v>70</v>
      </c>
      <c r="CP214" s="554" t="str">
        <f t="shared" si="377"/>
        <v>18:1:Ahead</v>
      </c>
      <c r="CQ214" s="554" t="str">
        <f t="shared" si="378"/>
        <v>% Wire Ice</v>
      </c>
      <c r="CR214" s="554">
        <f t="shared" si="379"/>
        <v>70</v>
      </c>
      <c r="CS214" s="554" t="str">
        <f t="shared" si="380"/>
        <v/>
      </c>
      <c r="CT214" s="554" t="str">
        <f t="shared" si="381"/>
        <v/>
      </c>
      <c r="CU214" s="554" t="str">
        <f t="shared" si="382"/>
        <v/>
      </c>
      <c r="CV214" s="554" t="str">
        <f t="shared" si="383"/>
        <v/>
      </c>
      <c r="CW214" s="554" t="str">
        <f t="shared" si="384"/>
        <v/>
      </c>
      <c r="CX214" s="554" t="str">
        <f t="shared" si="385"/>
        <v/>
      </c>
      <c r="CY214" s="554" t="str">
        <f t="shared" si="386"/>
        <v/>
      </c>
      <c r="CZ214" s="554" t="str">
        <f t="shared" si="387"/>
        <v/>
      </c>
      <c r="DA214" s="554" t="str">
        <f t="shared" si="388"/>
        <v/>
      </c>
      <c r="DB214" s="554" t="str">
        <f t="shared" si="389"/>
        <v/>
      </c>
      <c r="DC214" s="554" t="str">
        <f t="shared" si="390"/>
        <v/>
      </c>
      <c r="DD214" s="554" t="str">
        <f t="shared" si="391"/>
        <v/>
      </c>
      <c r="DE214" s="534"/>
      <c r="DF214" s="534"/>
      <c r="DG214" s="534"/>
    </row>
    <row r="215" spans="1:111" ht="15" x14ac:dyDescent="0.25">
      <c r="A215" s="549">
        <f>IFERROR(IF(INDEX('Weather Cases'!$E$10:$E$94,MATCH('Load Criteria'!X215,'Weather Cases'!$H$10:$H$94,0),1)=1,1,"-"),"-")</f>
        <v>1</v>
      </c>
      <c r="B215" s="555" t="s">
        <v>558</v>
      </c>
      <c r="C215" s="556" t="str">
        <f>IF('Weather Cases'!$E$42=0,"","DC")</f>
        <v>DC</v>
      </c>
      <c r="D215" s="555" t="s">
        <v>567</v>
      </c>
      <c r="E215" s="556" t="s">
        <v>22</v>
      </c>
      <c r="F215" s="556" t="s">
        <v>22</v>
      </c>
      <c r="G215" s="556" t="str">
        <f>IFERROR(IF(MID('Load Criteria'!X215,FIND("_",'Load Criteria'!X215,1)+1,1)=LEFT(Control!$D$23,1),"YES","-"),"-")</f>
        <v>-</v>
      </c>
      <c r="H215" s="549" t="str">
        <f>IF(INDEX('Weather Cases'!$G$10:$G$94,MATCH('Load Criteria'!X215,'Weather Cases'!$H$10:$H$94,0),1)="H","YES","")</f>
        <v>YES</v>
      </c>
      <c r="I215" s="557" t="s">
        <v>323</v>
      </c>
      <c r="J215" s="550">
        <v>50</v>
      </c>
      <c r="K215" s="508" t="s">
        <v>571</v>
      </c>
      <c r="L215" s="508" t="s">
        <v>24</v>
      </c>
      <c r="M215" s="508">
        <v>1</v>
      </c>
      <c r="N215" s="508">
        <v>2</v>
      </c>
      <c r="O215" s="508">
        <v>3</v>
      </c>
      <c r="P215" s="395">
        <v>4</v>
      </c>
      <c r="Q215" s="395">
        <v>5</v>
      </c>
      <c r="R215" s="395">
        <v>6</v>
      </c>
      <c r="S215" s="395">
        <v>7</v>
      </c>
      <c r="T215" s="395">
        <v>8</v>
      </c>
      <c r="U215" s="255" t="s">
        <v>574</v>
      </c>
      <c r="V215" s="551" t="s">
        <v>300</v>
      </c>
      <c r="W215" s="542" t="str">
        <f t="shared" si="51"/>
        <v>EI0050_8+TA123 NA-</v>
      </c>
      <c r="X215" s="552" t="str">
        <f>I215&amp;TEXT(J215,"0000")&amp;"_"&amp;LEFT(Control!$D$22,LEN(Control!$D$22)-2)</f>
        <v>EI0050_8</v>
      </c>
      <c r="Y215" s="552" t="s">
        <v>433</v>
      </c>
      <c r="Z215" s="552" t="str">
        <f t="shared" si="392"/>
        <v>NA-</v>
      </c>
      <c r="AA215" s="552"/>
      <c r="AB215" s="552">
        <v>1</v>
      </c>
      <c r="AC215" s="552">
        <v>1</v>
      </c>
      <c r="AD215" s="552">
        <v>1</v>
      </c>
      <c r="AE215" s="552">
        <v>1</v>
      </c>
      <c r="AF215" s="552">
        <v>1</v>
      </c>
      <c r="AG215" s="542" t="s">
        <v>561</v>
      </c>
      <c r="AH215" s="552">
        <v>0</v>
      </c>
      <c r="AI215" s="552">
        <v>0</v>
      </c>
      <c r="AJ215" s="552">
        <v>1</v>
      </c>
      <c r="AK215" s="552">
        <v>1</v>
      </c>
      <c r="AL215" s="552">
        <v>1</v>
      </c>
      <c r="AM215" s="552">
        <v>0</v>
      </c>
      <c r="AN215" s="552">
        <v>0</v>
      </c>
      <c r="AO215" s="552">
        <v>1</v>
      </c>
      <c r="AP215" s="552">
        <v>1</v>
      </c>
      <c r="AQ215" s="552">
        <v>1</v>
      </c>
      <c r="AR215" s="552">
        <v>1</v>
      </c>
      <c r="AS215" s="552">
        <v>1</v>
      </c>
      <c r="AT215" s="552">
        <v>1</v>
      </c>
      <c r="AU215" s="552">
        <v>1</v>
      </c>
      <c r="AV215" s="553" t="str">
        <f>IF(H215="YES","'"&amp;INDEX('Structure Groups'!$C$12:$C$14,MATCH('Load Criteria'!$B$5,'Structure Groups'!$B$12:$B$14,0),1)&amp;"'","'All'")</f>
        <v>'GL Max 800m'</v>
      </c>
      <c r="AW215" s="552" t="s">
        <v>562</v>
      </c>
      <c r="AX215" s="552"/>
      <c r="AY215" s="552" t="str">
        <f t="shared" si="283"/>
        <v>Yes</v>
      </c>
      <c r="AZ215" s="389" t="str">
        <f t="shared" si="343"/>
        <v>1:1:Ahead</v>
      </c>
      <c r="BA215" s="554" t="s">
        <v>572</v>
      </c>
      <c r="BB215" s="391">
        <v>40</v>
      </c>
      <c r="BC215" s="579" t="str">
        <f t="shared" si="344"/>
        <v>11:1:Ahead</v>
      </c>
      <c r="BD215" s="554" t="s">
        <v>572</v>
      </c>
      <c r="BE215" s="580">
        <f t="shared" si="394"/>
        <v>40</v>
      </c>
      <c r="BF215" s="389" t="str">
        <f t="shared" si="346"/>
        <v>1:1:Back</v>
      </c>
      <c r="BG215" s="554" t="str">
        <f t="shared" si="347"/>
        <v>% Wire Ice</v>
      </c>
      <c r="BH215" s="391">
        <v>70</v>
      </c>
      <c r="BI215" s="389" t="str">
        <f t="shared" si="348"/>
        <v>2:1:Ahead</v>
      </c>
      <c r="BJ215" s="554" t="s">
        <v>572</v>
      </c>
      <c r="BK215" s="391">
        <v>40</v>
      </c>
      <c r="BL215" s="579" t="str">
        <f>$N215+10&amp;":1:"&amp;"Ahead"</f>
        <v>12:1:Ahead</v>
      </c>
      <c r="BM215" s="554" t="s">
        <v>572</v>
      </c>
      <c r="BN215" s="580">
        <f t="shared" si="396"/>
        <v>40</v>
      </c>
      <c r="BO215" s="389" t="str">
        <f t="shared" si="351"/>
        <v>2:1:Back</v>
      </c>
      <c r="BP215" s="554" t="str">
        <f t="shared" si="352"/>
        <v>% Wire Ice</v>
      </c>
      <c r="BQ215" s="391">
        <v>70</v>
      </c>
      <c r="BR215" s="389" t="str">
        <f t="shared" si="353"/>
        <v>3:1:Ahead</v>
      </c>
      <c r="BS215" s="554" t="str">
        <f t="shared" si="354"/>
        <v>% Wire Ice</v>
      </c>
      <c r="BT215" s="391">
        <f t="shared" si="355"/>
        <v>40</v>
      </c>
      <c r="BU215" s="579" t="str">
        <f>$O215+10&amp;":1:"&amp;"Ahead"</f>
        <v>13:1:Ahead</v>
      </c>
      <c r="BV215" s="554" t="str">
        <f t="shared" si="357"/>
        <v>% Wire Ice</v>
      </c>
      <c r="BW215" s="580">
        <f t="shared" ref="BW215:BW218" si="397">IF($L215="A",40,70)</f>
        <v>40</v>
      </c>
      <c r="BX215" s="389" t="str">
        <f t="shared" si="359"/>
        <v>3:1:Back</v>
      </c>
      <c r="BY215" s="554" t="str">
        <f t="shared" si="360"/>
        <v>% Wire Ice</v>
      </c>
      <c r="BZ215" s="391">
        <f t="shared" si="361"/>
        <v>70</v>
      </c>
      <c r="CA215" s="389" t="str">
        <f t="shared" si="362"/>
        <v>4:1:Back+Ahead</v>
      </c>
      <c r="CB215" s="554" t="str">
        <f t="shared" si="363"/>
        <v>% Wire Ice</v>
      </c>
      <c r="CC215" s="391">
        <f t="shared" si="364"/>
        <v>70</v>
      </c>
      <c r="CD215" s="389" t="str">
        <f t="shared" si="365"/>
        <v>14:1:Ahead</v>
      </c>
      <c r="CE215" s="554" t="str">
        <f t="shared" si="366"/>
        <v>% Wire Ice</v>
      </c>
      <c r="CF215" s="391">
        <f t="shared" si="367"/>
        <v>70</v>
      </c>
      <c r="CG215" s="389" t="str">
        <f t="shared" si="368"/>
        <v>5:1:Back+Ahead</v>
      </c>
      <c r="CH215" s="554" t="str">
        <f t="shared" si="369"/>
        <v>% Wire Ice</v>
      </c>
      <c r="CI215" s="391">
        <f t="shared" si="370"/>
        <v>70</v>
      </c>
      <c r="CJ215" s="389" t="str">
        <f t="shared" si="371"/>
        <v>15:1:Ahead</v>
      </c>
      <c r="CK215" s="554" t="str">
        <f t="shared" si="372"/>
        <v>% Wire Ice</v>
      </c>
      <c r="CL215" s="391">
        <f t="shared" si="373"/>
        <v>70</v>
      </c>
      <c r="CM215" s="389" t="str">
        <f t="shared" si="374"/>
        <v>6:1:Back+Ahead</v>
      </c>
      <c r="CN215" s="554" t="str">
        <f t="shared" si="375"/>
        <v>% Wire Ice</v>
      </c>
      <c r="CO215" s="391">
        <f t="shared" si="376"/>
        <v>70</v>
      </c>
      <c r="CP215" s="554" t="str">
        <f t="shared" si="377"/>
        <v>16:1:Ahead</v>
      </c>
      <c r="CQ215" s="554" t="str">
        <f t="shared" si="378"/>
        <v>% Wire Ice</v>
      </c>
      <c r="CR215" s="554">
        <f t="shared" si="379"/>
        <v>70</v>
      </c>
      <c r="CS215" s="554" t="str">
        <f t="shared" si="380"/>
        <v>7:1:Back+Ahead</v>
      </c>
      <c r="CT215" s="554" t="str">
        <f t="shared" si="381"/>
        <v>% Wire Ice</v>
      </c>
      <c r="CU215" s="554">
        <f t="shared" si="382"/>
        <v>70</v>
      </c>
      <c r="CV215" s="554" t="str">
        <f t="shared" si="383"/>
        <v>17:1:Ahead</v>
      </c>
      <c r="CW215" s="554" t="str">
        <f t="shared" si="384"/>
        <v>% Wire Ice</v>
      </c>
      <c r="CX215" s="554">
        <f t="shared" si="385"/>
        <v>70</v>
      </c>
      <c r="CY215" s="554" t="str">
        <f t="shared" si="386"/>
        <v>8:1:Back+Ahead</v>
      </c>
      <c r="CZ215" s="554" t="str">
        <f t="shared" si="387"/>
        <v>% Wire Ice</v>
      </c>
      <c r="DA215" s="554">
        <f t="shared" si="388"/>
        <v>70</v>
      </c>
      <c r="DB215" s="554" t="str">
        <f t="shared" si="389"/>
        <v>18:1:Ahead</v>
      </c>
      <c r="DC215" s="554" t="str">
        <f t="shared" si="390"/>
        <v>% Wire Ice</v>
      </c>
      <c r="DD215" s="554">
        <f t="shared" si="391"/>
        <v>70</v>
      </c>
      <c r="DE215" s="534"/>
      <c r="DF215" s="534"/>
      <c r="DG215" s="534"/>
    </row>
    <row r="216" spans="1:111" ht="15" x14ac:dyDescent="0.25">
      <c r="A216" s="549">
        <f>IFERROR(IF(INDEX('Weather Cases'!$E$10:$E$94,MATCH('Load Criteria'!X216,'Weather Cases'!$H$10:$H$94,0),1)=1,1,"-"),"-")</f>
        <v>1</v>
      </c>
      <c r="B216" s="555" t="s">
        <v>558</v>
      </c>
      <c r="C216" s="556" t="str">
        <f>IF('Weather Cases'!$E$42=0,"","DC")</f>
        <v>DC</v>
      </c>
      <c r="D216" s="555" t="s">
        <v>567</v>
      </c>
      <c r="E216" s="556" t="s">
        <v>22</v>
      </c>
      <c r="F216" s="556" t="s">
        <v>22</v>
      </c>
      <c r="G216" s="556" t="str">
        <f>IFERROR(IF(MID('Load Criteria'!X216,FIND("_",'Load Criteria'!X216,1)+1,1)=LEFT(Control!$D$23,1),"YES","-"),"-")</f>
        <v>-</v>
      </c>
      <c r="H216" s="549" t="str">
        <f>IF(INDEX('Weather Cases'!$G$10:$G$94,MATCH('Load Criteria'!X216,'Weather Cases'!$H$10:$H$94,0),1)="H","YES","")</f>
        <v>YES</v>
      </c>
      <c r="I216" s="557" t="s">
        <v>323</v>
      </c>
      <c r="J216" s="550">
        <v>50</v>
      </c>
      <c r="K216" s="508" t="s">
        <v>571</v>
      </c>
      <c r="L216" s="508" t="s">
        <v>40</v>
      </c>
      <c r="M216" s="508">
        <v>1</v>
      </c>
      <c r="N216" s="508">
        <v>2</v>
      </c>
      <c r="O216" s="508">
        <v>3</v>
      </c>
      <c r="P216" s="395">
        <v>4</v>
      </c>
      <c r="Q216" s="395">
        <v>5</v>
      </c>
      <c r="R216" s="395">
        <v>6</v>
      </c>
      <c r="S216" s="395">
        <v>7</v>
      </c>
      <c r="T216" s="395">
        <v>8</v>
      </c>
      <c r="U216" s="255" t="s">
        <v>574</v>
      </c>
      <c r="V216" s="551" t="s">
        <v>300</v>
      </c>
      <c r="W216" s="542" t="str">
        <f t="shared" ref="W216:W295" si="398">X216&amp;"+"&amp;K216&amp;IF(L216="","",CONCATENATE(L216,M216,N216,O216))&amp;" "&amp;U216</f>
        <v>EI0050_8+TB123 NA-</v>
      </c>
      <c r="X216" s="552" t="str">
        <f>I216&amp;TEXT(J216,"0000")&amp;"_"&amp;LEFT(Control!$D$22,LEN(Control!$D$22)-2)</f>
        <v>EI0050_8</v>
      </c>
      <c r="Y216" s="552" t="s">
        <v>433</v>
      </c>
      <c r="Z216" s="552" t="str">
        <f t="shared" si="392"/>
        <v>NA-</v>
      </c>
      <c r="AA216" s="552"/>
      <c r="AB216" s="552">
        <v>1</v>
      </c>
      <c r="AC216" s="552">
        <v>1</v>
      </c>
      <c r="AD216" s="552">
        <v>1</v>
      </c>
      <c r="AE216" s="552">
        <v>1</v>
      </c>
      <c r="AF216" s="552">
        <v>1</v>
      </c>
      <c r="AG216" s="542" t="s">
        <v>561</v>
      </c>
      <c r="AH216" s="552">
        <v>0</v>
      </c>
      <c r="AI216" s="552">
        <v>0</v>
      </c>
      <c r="AJ216" s="552">
        <v>1</v>
      </c>
      <c r="AK216" s="552">
        <v>1</v>
      </c>
      <c r="AL216" s="552">
        <v>1</v>
      </c>
      <c r="AM216" s="552">
        <v>0</v>
      </c>
      <c r="AN216" s="552">
        <v>0</v>
      </c>
      <c r="AO216" s="552">
        <v>1</v>
      </c>
      <c r="AP216" s="552">
        <v>1</v>
      </c>
      <c r="AQ216" s="552">
        <v>1</v>
      </c>
      <c r="AR216" s="552">
        <v>1</v>
      </c>
      <c r="AS216" s="552">
        <v>1</v>
      </c>
      <c r="AT216" s="552">
        <v>1</v>
      </c>
      <c r="AU216" s="552">
        <v>1</v>
      </c>
      <c r="AV216" s="553" t="str">
        <f>IF(H216="YES","'"&amp;INDEX('Structure Groups'!$C$12:$C$14,MATCH('Load Criteria'!$B$5,'Structure Groups'!$B$12:$B$14,0),1)&amp;"'","'All'")</f>
        <v>'GL Max 800m'</v>
      </c>
      <c r="AW216" s="552" t="s">
        <v>562</v>
      </c>
      <c r="AX216" s="552"/>
      <c r="AY216" s="552" t="str">
        <f t="shared" si="283"/>
        <v>Yes</v>
      </c>
      <c r="AZ216" s="389" t="str">
        <f t="shared" si="343"/>
        <v>1:1:Back</v>
      </c>
      <c r="BA216" s="554" t="s">
        <v>572</v>
      </c>
      <c r="BB216" s="391">
        <v>40</v>
      </c>
      <c r="BC216" s="579" t="str">
        <f t="shared" si="344"/>
        <v>11:1:Ahead</v>
      </c>
      <c r="BD216" s="554" t="s">
        <v>572</v>
      </c>
      <c r="BE216" s="580">
        <f t="shared" si="394"/>
        <v>70</v>
      </c>
      <c r="BF216" s="389" t="str">
        <f t="shared" si="346"/>
        <v>1:1:Ahead</v>
      </c>
      <c r="BG216" s="554" t="str">
        <f t="shared" si="347"/>
        <v>% Wire Ice</v>
      </c>
      <c r="BH216" s="391">
        <v>70</v>
      </c>
      <c r="BI216" s="389" t="str">
        <f t="shared" si="348"/>
        <v>2:1:Back</v>
      </c>
      <c r="BJ216" s="554" t="s">
        <v>572</v>
      </c>
      <c r="BK216" s="391">
        <v>40</v>
      </c>
      <c r="BL216" s="579" t="str">
        <f t="shared" ref="BL216:BL218" si="399">$N216+10&amp;":1:"&amp;"Ahead"</f>
        <v>12:1:Ahead</v>
      </c>
      <c r="BM216" s="554" t="s">
        <v>572</v>
      </c>
      <c r="BN216" s="580">
        <f t="shared" si="396"/>
        <v>70</v>
      </c>
      <c r="BO216" s="389" t="str">
        <f t="shared" si="351"/>
        <v>2:1:Ahead</v>
      </c>
      <c r="BP216" s="554" t="str">
        <f t="shared" si="352"/>
        <v>% Wire Ice</v>
      </c>
      <c r="BQ216" s="391">
        <v>70</v>
      </c>
      <c r="BR216" s="389" t="str">
        <f t="shared" si="353"/>
        <v>3:1:Back</v>
      </c>
      <c r="BS216" s="554" t="str">
        <f t="shared" si="354"/>
        <v>% Wire Ice</v>
      </c>
      <c r="BT216" s="391">
        <f t="shared" si="355"/>
        <v>40</v>
      </c>
      <c r="BU216" s="579" t="str">
        <f t="shared" ref="BU216:BU218" si="400">$O216+10&amp;":1:"&amp;"Ahead"</f>
        <v>13:1:Ahead</v>
      </c>
      <c r="BV216" s="554" t="str">
        <f t="shared" si="357"/>
        <v>% Wire Ice</v>
      </c>
      <c r="BW216" s="580">
        <f t="shared" si="397"/>
        <v>70</v>
      </c>
      <c r="BX216" s="389" t="str">
        <f t="shared" si="359"/>
        <v>3:1:Ahead</v>
      </c>
      <c r="BY216" s="554" t="str">
        <f t="shared" si="360"/>
        <v>% Wire Ice</v>
      </c>
      <c r="BZ216" s="391">
        <f t="shared" si="361"/>
        <v>70</v>
      </c>
      <c r="CA216" s="389" t="str">
        <f t="shared" si="362"/>
        <v>4:1:Back+Ahead</v>
      </c>
      <c r="CB216" s="554" t="str">
        <f t="shared" si="363"/>
        <v>% Wire Ice</v>
      </c>
      <c r="CC216" s="391">
        <f t="shared" si="364"/>
        <v>70</v>
      </c>
      <c r="CD216" s="389" t="str">
        <f t="shared" si="365"/>
        <v>14:1:Ahead</v>
      </c>
      <c r="CE216" s="554" t="str">
        <f t="shared" si="366"/>
        <v>% Wire Ice</v>
      </c>
      <c r="CF216" s="391">
        <f t="shared" si="367"/>
        <v>70</v>
      </c>
      <c r="CG216" s="389" t="str">
        <f t="shared" si="368"/>
        <v>5:1:Back+Ahead</v>
      </c>
      <c r="CH216" s="554" t="str">
        <f t="shared" si="369"/>
        <v>% Wire Ice</v>
      </c>
      <c r="CI216" s="391">
        <f t="shared" si="370"/>
        <v>70</v>
      </c>
      <c r="CJ216" s="389" t="str">
        <f t="shared" si="371"/>
        <v>15:1:Ahead</v>
      </c>
      <c r="CK216" s="554" t="str">
        <f t="shared" si="372"/>
        <v>% Wire Ice</v>
      </c>
      <c r="CL216" s="391">
        <f t="shared" si="373"/>
        <v>70</v>
      </c>
      <c r="CM216" s="389" t="str">
        <f t="shared" si="374"/>
        <v>6:1:Back+Ahead</v>
      </c>
      <c r="CN216" s="554" t="str">
        <f t="shared" si="375"/>
        <v>% Wire Ice</v>
      </c>
      <c r="CO216" s="391">
        <f t="shared" si="376"/>
        <v>70</v>
      </c>
      <c r="CP216" s="554" t="str">
        <f t="shared" si="377"/>
        <v>16:1:Ahead</v>
      </c>
      <c r="CQ216" s="554" t="str">
        <f t="shared" si="378"/>
        <v>% Wire Ice</v>
      </c>
      <c r="CR216" s="554">
        <f t="shared" si="379"/>
        <v>70</v>
      </c>
      <c r="CS216" s="554" t="str">
        <f t="shared" si="380"/>
        <v>7:1:Back+Ahead</v>
      </c>
      <c r="CT216" s="554" t="str">
        <f t="shared" si="381"/>
        <v>% Wire Ice</v>
      </c>
      <c r="CU216" s="554">
        <f t="shared" si="382"/>
        <v>70</v>
      </c>
      <c r="CV216" s="554" t="str">
        <f t="shared" si="383"/>
        <v>17:1:Ahead</v>
      </c>
      <c r="CW216" s="554" t="str">
        <f t="shared" si="384"/>
        <v>% Wire Ice</v>
      </c>
      <c r="CX216" s="554">
        <f t="shared" si="385"/>
        <v>70</v>
      </c>
      <c r="CY216" s="554" t="str">
        <f t="shared" si="386"/>
        <v>8:1:Back+Ahead</v>
      </c>
      <c r="CZ216" s="554" t="str">
        <f t="shared" si="387"/>
        <v>% Wire Ice</v>
      </c>
      <c r="DA216" s="554">
        <f t="shared" si="388"/>
        <v>70</v>
      </c>
      <c r="DB216" s="554" t="str">
        <f t="shared" si="389"/>
        <v>18:1:Ahead</v>
      </c>
      <c r="DC216" s="554" t="str">
        <f t="shared" si="390"/>
        <v>% Wire Ice</v>
      </c>
      <c r="DD216" s="554">
        <f t="shared" si="391"/>
        <v>70</v>
      </c>
      <c r="DE216" s="534"/>
      <c r="DF216" s="534"/>
      <c r="DG216" s="534"/>
    </row>
    <row r="217" spans="1:111" ht="15" x14ac:dyDescent="0.25">
      <c r="A217" s="549">
        <f>IFERROR(IF(INDEX('Weather Cases'!$E$10:$E$94,MATCH('Load Criteria'!X217,'Weather Cases'!$H$10:$H$94,0),1)=1,1,"-"),"-")</f>
        <v>1</v>
      </c>
      <c r="B217" s="555" t="s">
        <v>558</v>
      </c>
      <c r="C217" s="556" t="str">
        <f>IF('Weather Cases'!$E$42=0,"","DC")</f>
        <v>DC</v>
      </c>
      <c r="D217" s="555" t="s">
        <v>567</v>
      </c>
      <c r="E217" s="556" t="s">
        <v>22</v>
      </c>
      <c r="F217" s="556" t="s">
        <v>22</v>
      </c>
      <c r="G217" s="556" t="str">
        <f>IFERROR(IF(MID('Load Criteria'!X217,FIND("_",'Load Criteria'!X217,1)+1,1)=LEFT(Control!$D$23,1),"YES","-"),"-")</f>
        <v>-</v>
      </c>
      <c r="H217" s="549" t="str">
        <f>IF(INDEX('Weather Cases'!$G$10:$G$94,MATCH('Load Criteria'!X217,'Weather Cases'!$H$10:$H$94,0),1)="H","YES","")</f>
        <v>YES</v>
      </c>
      <c r="I217" s="557" t="s">
        <v>323</v>
      </c>
      <c r="J217" s="550">
        <v>50</v>
      </c>
      <c r="K217" s="508" t="s">
        <v>571</v>
      </c>
      <c r="L217" s="508" t="s">
        <v>24</v>
      </c>
      <c r="M217" s="508">
        <v>4</v>
      </c>
      <c r="N217" s="508">
        <v>5</v>
      </c>
      <c r="O217" s="508">
        <v>6</v>
      </c>
      <c r="P217" s="395">
        <v>1</v>
      </c>
      <c r="Q217" s="395">
        <v>2</v>
      </c>
      <c r="R217" s="395">
        <v>3</v>
      </c>
      <c r="S217" s="395">
        <v>7</v>
      </c>
      <c r="T217" s="395">
        <v>8</v>
      </c>
      <c r="U217" s="255" t="s">
        <v>574</v>
      </c>
      <c r="V217" s="551" t="s">
        <v>300</v>
      </c>
      <c r="W217" s="542" t="str">
        <f t="shared" si="398"/>
        <v>EI0050_8+TA456 NA-</v>
      </c>
      <c r="X217" s="552" t="str">
        <f>I217&amp;TEXT(J217,"0000")&amp;"_"&amp;LEFT(Control!$D$22,LEN(Control!$D$22)-2)</f>
        <v>EI0050_8</v>
      </c>
      <c r="Y217" s="552" t="s">
        <v>433</v>
      </c>
      <c r="Z217" s="552" t="str">
        <f t="shared" si="392"/>
        <v>NA-</v>
      </c>
      <c r="AA217" s="552"/>
      <c r="AB217" s="552">
        <v>1</v>
      </c>
      <c r="AC217" s="552">
        <v>1</v>
      </c>
      <c r="AD217" s="552">
        <v>1</v>
      </c>
      <c r="AE217" s="552">
        <v>1</v>
      </c>
      <c r="AF217" s="552">
        <v>1</v>
      </c>
      <c r="AG217" s="542" t="s">
        <v>561</v>
      </c>
      <c r="AH217" s="552">
        <v>0</v>
      </c>
      <c r="AI217" s="552">
        <v>0</v>
      </c>
      <c r="AJ217" s="552">
        <v>1</v>
      </c>
      <c r="AK217" s="552">
        <v>1</v>
      </c>
      <c r="AL217" s="552">
        <v>1</v>
      </c>
      <c r="AM217" s="552">
        <v>0</v>
      </c>
      <c r="AN217" s="552">
        <v>0</v>
      </c>
      <c r="AO217" s="552">
        <v>1</v>
      </c>
      <c r="AP217" s="552">
        <v>1</v>
      </c>
      <c r="AQ217" s="552">
        <v>1</v>
      </c>
      <c r="AR217" s="552">
        <v>1</v>
      </c>
      <c r="AS217" s="552">
        <v>1</v>
      </c>
      <c r="AT217" s="552">
        <v>1</v>
      </c>
      <c r="AU217" s="552">
        <v>1</v>
      </c>
      <c r="AV217" s="553" t="str">
        <f>IF(H217="YES","'"&amp;INDEX('Structure Groups'!$C$12:$C$14,MATCH('Load Criteria'!$B$5,'Structure Groups'!$B$12:$B$14,0),1)&amp;"'","'All'")</f>
        <v>'GL Max 800m'</v>
      </c>
      <c r="AW217" s="552" t="s">
        <v>562</v>
      </c>
      <c r="AX217" s="552"/>
      <c r="AY217" s="552" t="str">
        <f t="shared" si="283"/>
        <v>Yes</v>
      </c>
      <c r="AZ217" s="389" t="str">
        <f t="shared" si="343"/>
        <v>4:1:Ahead</v>
      </c>
      <c r="BA217" s="554" t="s">
        <v>572</v>
      </c>
      <c r="BB217" s="391">
        <v>40</v>
      </c>
      <c r="BC217" s="579" t="str">
        <f t="shared" si="344"/>
        <v>14:1:Ahead</v>
      </c>
      <c r="BD217" s="554" t="s">
        <v>572</v>
      </c>
      <c r="BE217" s="580">
        <f t="shared" si="394"/>
        <v>40</v>
      </c>
      <c r="BF217" s="389" t="str">
        <f t="shared" si="346"/>
        <v>4:1:Back</v>
      </c>
      <c r="BG217" s="554" t="str">
        <f t="shared" si="347"/>
        <v>% Wire Ice</v>
      </c>
      <c r="BH217" s="391">
        <v>70</v>
      </c>
      <c r="BI217" s="389" t="str">
        <f t="shared" si="348"/>
        <v>5:1:Ahead</v>
      </c>
      <c r="BJ217" s="554" t="s">
        <v>572</v>
      </c>
      <c r="BK217" s="391">
        <v>40</v>
      </c>
      <c r="BL217" s="579" t="str">
        <f t="shared" si="399"/>
        <v>15:1:Ahead</v>
      </c>
      <c r="BM217" s="554" t="s">
        <v>572</v>
      </c>
      <c r="BN217" s="580">
        <f t="shared" si="396"/>
        <v>40</v>
      </c>
      <c r="BO217" s="389" t="str">
        <f t="shared" si="351"/>
        <v>5:1:Back</v>
      </c>
      <c r="BP217" s="554" t="str">
        <f t="shared" si="352"/>
        <v>% Wire Ice</v>
      </c>
      <c r="BQ217" s="391">
        <v>70</v>
      </c>
      <c r="BR217" s="389" t="str">
        <f t="shared" si="353"/>
        <v>6:1:Ahead</v>
      </c>
      <c r="BS217" s="554" t="str">
        <f t="shared" si="354"/>
        <v>% Wire Ice</v>
      </c>
      <c r="BT217" s="391">
        <f t="shared" si="355"/>
        <v>40</v>
      </c>
      <c r="BU217" s="579" t="str">
        <f t="shared" si="400"/>
        <v>16:1:Ahead</v>
      </c>
      <c r="BV217" s="554" t="str">
        <f t="shared" si="357"/>
        <v>% Wire Ice</v>
      </c>
      <c r="BW217" s="580">
        <f t="shared" si="397"/>
        <v>40</v>
      </c>
      <c r="BX217" s="389" t="str">
        <f t="shared" si="359"/>
        <v>6:1:Back</v>
      </c>
      <c r="BY217" s="554" t="str">
        <f t="shared" si="360"/>
        <v>% Wire Ice</v>
      </c>
      <c r="BZ217" s="391">
        <f t="shared" si="361"/>
        <v>70</v>
      </c>
      <c r="CA217" s="389" t="str">
        <f t="shared" si="362"/>
        <v>1:1:Back+Ahead</v>
      </c>
      <c r="CB217" s="554" t="str">
        <f t="shared" si="363"/>
        <v>% Wire Ice</v>
      </c>
      <c r="CC217" s="391">
        <f t="shared" si="364"/>
        <v>70</v>
      </c>
      <c r="CD217" s="389" t="str">
        <f t="shared" si="365"/>
        <v>11:1:Ahead</v>
      </c>
      <c r="CE217" s="554" t="str">
        <f t="shared" si="366"/>
        <v>% Wire Ice</v>
      </c>
      <c r="CF217" s="391">
        <f t="shared" si="367"/>
        <v>70</v>
      </c>
      <c r="CG217" s="389" t="str">
        <f t="shared" si="368"/>
        <v>2:1:Back+Ahead</v>
      </c>
      <c r="CH217" s="554" t="str">
        <f t="shared" si="369"/>
        <v>% Wire Ice</v>
      </c>
      <c r="CI217" s="391">
        <f t="shared" si="370"/>
        <v>70</v>
      </c>
      <c r="CJ217" s="389" t="str">
        <f t="shared" si="371"/>
        <v>12:1:Ahead</v>
      </c>
      <c r="CK217" s="554" t="str">
        <f t="shared" si="372"/>
        <v>% Wire Ice</v>
      </c>
      <c r="CL217" s="391">
        <f t="shared" si="373"/>
        <v>70</v>
      </c>
      <c r="CM217" s="389" t="str">
        <f t="shared" si="374"/>
        <v>3:1:Back+Ahead</v>
      </c>
      <c r="CN217" s="554" t="str">
        <f t="shared" si="375"/>
        <v>% Wire Ice</v>
      </c>
      <c r="CO217" s="391">
        <f t="shared" si="376"/>
        <v>70</v>
      </c>
      <c r="CP217" s="554" t="str">
        <f t="shared" si="377"/>
        <v>13:1:Ahead</v>
      </c>
      <c r="CQ217" s="554" t="str">
        <f t="shared" si="378"/>
        <v>% Wire Ice</v>
      </c>
      <c r="CR217" s="554">
        <f t="shared" si="379"/>
        <v>70</v>
      </c>
      <c r="CS217" s="554" t="str">
        <f t="shared" si="380"/>
        <v>7:1:Back+Ahead</v>
      </c>
      <c r="CT217" s="554" t="str">
        <f t="shared" si="381"/>
        <v>% Wire Ice</v>
      </c>
      <c r="CU217" s="554">
        <f t="shared" si="382"/>
        <v>70</v>
      </c>
      <c r="CV217" s="554" t="str">
        <f t="shared" si="383"/>
        <v>17:1:Ahead</v>
      </c>
      <c r="CW217" s="554" t="str">
        <f t="shared" si="384"/>
        <v>% Wire Ice</v>
      </c>
      <c r="CX217" s="554">
        <f t="shared" si="385"/>
        <v>70</v>
      </c>
      <c r="CY217" s="554" t="str">
        <f t="shared" si="386"/>
        <v>8:1:Back+Ahead</v>
      </c>
      <c r="CZ217" s="554" t="str">
        <f t="shared" si="387"/>
        <v>% Wire Ice</v>
      </c>
      <c r="DA217" s="554">
        <f t="shared" si="388"/>
        <v>70</v>
      </c>
      <c r="DB217" s="554" t="str">
        <f t="shared" si="389"/>
        <v>18:1:Ahead</v>
      </c>
      <c r="DC217" s="554" t="str">
        <f t="shared" si="390"/>
        <v>% Wire Ice</v>
      </c>
      <c r="DD217" s="554">
        <f t="shared" si="391"/>
        <v>70</v>
      </c>
      <c r="DE217" s="534"/>
      <c r="DF217" s="534"/>
      <c r="DG217" s="534"/>
    </row>
    <row r="218" spans="1:111" ht="15" x14ac:dyDescent="0.25">
      <c r="A218" s="549">
        <f>IFERROR(IF(INDEX('Weather Cases'!$E$10:$E$94,MATCH('Load Criteria'!X218,'Weather Cases'!$H$10:$H$94,0),1)=1,1,"-"),"-")</f>
        <v>1</v>
      </c>
      <c r="B218" s="555" t="s">
        <v>558</v>
      </c>
      <c r="C218" s="556" t="str">
        <f>IF('Weather Cases'!$E$42=0,"","DC")</f>
        <v>DC</v>
      </c>
      <c r="D218" s="555" t="s">
        <v>567</v>
      </c>
      <c r="E218" s="556" t="s">
        <v>22</v>
      </c>
      <c r="F218" s="556" t="s">
        <v>22</v>
      </c>
      <c r="G218" s="556" t="str">
        <f>IFERROR(IF(MID('Load Criteria'!X218,FIND("_",'Load Criteria'!X218,1)+1,1)=LEFT(Control!$D$23,1),"YES","-"),"-")</f>
        <v>-</v>
      </c>
      <c r="H218" s="549" t="str">
        <f>IF(INDEX('Weather Cases'!$G$10:$G$94,MATCH('Load Criteria'!X218,'Weather Cases'!$H$10:$H$94,0),1)="H","YES","")</f>
        <v>YES</v>
      </c>
      <c r="I218" s="557" t="s">
        <v>323</v>
      </c>
      <c r="J218" s="550">
        <v>50</v>
      </c>
      <c r="K218" s="508" t="s">
        <v>571</v>
      </c>
      <c r="L218" s="508" t="s">
        <v>40</v>
      </c>
      <c r="M218" s="508">
        <v>4</v>
      </c>
      <c r="N218" s="508">
        <v>5</v>
      </c>
      <c r="O218" s="508">
        <v>6</v>
      </c>
      <c r="P218" s="395">
        <v>1</v>
      </c>
      <c r="Q218" s="395">
        <v>2</v>
      </c>
      <c r="R218" s="395">
        <v>3</v>
      </c>
      <c r="S218" s="395">
        <v>7</v>
      </c>
      <c r="T218" s="395">
        <v>8</v>
      </c>
      <c r="U218" s="255" t="s">
        <v>574</v>
      </c>
      <c r="V218" s="551" t="s">
        <v>300</v>
      </c>
      <c r="W218" s="542" t="str">
        <f t="shared" si="398"/>
        <v>EI0050_8+TB456 NA-</v>
      </c>
      <c r="X218" s="552" t="str">
        <f>I218&amp;TEXT(J218,"0000")&amp;"_"&amp;LEFT(Control!$D$22,LEN(Control!$D$22)-2)</f>
        <v>EI0050_8</v>
      </c>
      <c r="Y218" s="552" t="s">
        <v>433</v>
      </c>
      <c r="Z218" s="552" t="str">
        <f t="shared" si="392"/>
        <v>NA-</v>
      </c>
      <c r="AA218" s="552"/>
      <c r="AB218" s="552">
        <v>1</v>
      </c>
      <c r="AC218" s="552">
        <v>1</v>
      </c>
      <c r="AD218" s="552">
        <v>1</v>
      </c>
      <c r="AE218" s="552">
        <v>1</v>
      </c>
      <c r="AF218" s="552">
        <v>1</v>
      </c>
      <c r="AG218" s="542" t="s">
        <v>561</v>
      </c>
      <c r="AH218" s="552">
        <v>0</v>
      </c>
      <c r="AI218" s="552">
        <v>0</v>
      </c>
      <c r="AJ218" s="552">
        <v>1</v>
      </c>
      <c r="AK218" s="552">
        <v>1</v>
      </c>
      <c r="AL218" s="552">
        <v>1</v>
      </c>
      <c r="AM218" s="552">
        <v>0</v>
      </c>
      <c r="AN218" s="552">
        <v>0</v>
      </c>
      <c r="AO218" s="552">
        <v>1</v>
      </c>
      <c r="AP218" s="552">
        <v>1</v>
      </c>
      <c r="AQ218" s="552">
        <v>1</v>
      </c>
      <c r="AR218" s="552">
        <v>1</v>
      </c>
      <c r="AS218" s="552">
        <v>1</v>
      </c>
      <c r="AT218" s="552">
        <v>1</v>
      </c>
      <c r="AU218" s="552">
        <v>1</v>
      </c>
      <c r="AV218" s="553" t="str">
        <f>IF(H218="YES","'"&amp;INDEX('Structure Groups'!$C$12:$C$14,MATCH('Load Criteria'!$B$5,'Structure Groups'!$B$12:$B$14,0),1)&amp;"'","'All'")</f>
        <v>'GL Max 800m'</v>
      </c>
      <c r="AW218" s="552" t="s">
        <v>562</v>
      </c>
      <c r="AX218" s="552"/>
      <c r="AY218" s="552" t="str">
        <f t="shared" si="283"/>
        <v>Yes</v>
      </c>
      <c r="AZ218" s="389" t="str">
        <f t="shared" si="343"/>
        <v>4:1:Back</v>
      </c>
      <c r="BA218" s="554" t="s">
        <v>572</v>
      </c>
      <c r="BB218" s="391">
        <v>40</v>
      </c>
      <c r="BC218" s="579" t="str">
        <f t="shared" si="344"/>
        <v>14:1:Ahead</v>
      </c>
      <c r="BD218" s="554" t="s">
        <v>572</v>
      </c>
      <c r="BE218" s="580">
        <f t="shared" si="394"/>
        <v>70</v>
      </c>
      <c r="BF218" s="389" t="str">
        <f t="shared" si="346"/>
        <v>4:1:Ahead</v>
      </c>
      <c r="BG218" s="554" t="str">
        <f t="shared" si="347"/>
        <v>% Wire Ice</v>
      </c>
      <c r="BH218" s="391">
        <v>70</v>
      </c>
      <c r="BI218" s="389" t="str">
        <f t="shared" si="348"/>
        <v>5:1:Back</v>
      </c>
      <c r="BJ218" s="554" t="s">
        <v>572</v>
      </c>
      <c r="BK218" s="391">
        <v>40</v>
      </c>
      <c r="BL218" s="579" t="str">
        <f t="shared" si="399"/>
        <v>15:1:Ahead</v>
      </c>
      <c r="BM218" s="554" t="s">
        <v>572</v>
      </c>
      <c r="BN218" s="580">
        <f t="shared" si="396"/>
        <v>70</v>
      </c>
      <c r="BO218" s="389" t="str">
        <f t="shared" si="351"/>
        <v>5:1:Ahead</v>
      </c>
      <c r="BP218" s="554" t="str">
        <f t="shared" si="352"/>
        <v>% Wire Ice</v>
      </c>
      <c r="BQ218" s="391">
        <v>70</v>
      </c>
      <c r="BR218" s="389" t="str">
        <f t="shared" si="353"/>
        <v>6:1:Back</v>
      </c>
      <c r="BS218" s="554" t="str">
        <f t="shared" si="354"/>
        <v>% Wire Ice</v>
      </c>
      <c r="BT218" s="391">
        <f t="shared" si="355"/>
        <v>40</v>
      </c>
      <c r="BU218" s="579" t="str">
        <f t="shared" si="400"/>
        <v>16:1:Ahead</v>
      </c>
      <c r="BV218" s="554" t="str">
        <f t="shared" si="357"/>
        <v>% Wire Ice</v>
      </c>
      <c r="BW218" s="580">
        <f t="shared" si="397"/>
        <v>70</v>
      </c>
      <c r="BX218" s="389" t="str">
        <f t="shared" si="359"/>
        <v>6:1:Ahead</v>
      </c>
      <c r="BY218" s="554" t="str">
        <f t="shared" si="360"/>
        <v>% Wire Ice</v>
      </c>
      <c r="BZ218" s="391">
        <f t="shared" si="361"/>
        <v>70</v>
      </c>
      <c r="CA218" s="389" t="str">
        <f t="shared" si="362"/>
        <v>1:1:Back+Ahead</v>
      </c>
      <c r="CB218" s="554" t="str">
        <f t="shared" si="363"/>
        <v>% Wire Ice</v>
      </c>
      <c r="CC218" s="391">
        <f t="shared" si="364"/>
        <v>70</v>
      </c>
      <c r="CD218" s="389" t="str">
        <f t="shared" si="365"/>
        <v>11:1:Ahead</v>
      </c>
      <c r="CE218" s="554" t="str">
        <f t="shared" si="366"/>
        <v>% Wire Ice</v>
      </c>
      <c r="CF218" s="391">
        <f t="shared" si="367"/>
        <v>70</v>
      </c>
      <c r="CG218" s="389" t="str">
        <f t="shared" si="368"/>
        <v>2:1:Back+Ahead</v>
      </c>
      <c r="CH218" s="554" t="str">
        <f t="shared" si="369"/>
        <v>% Wire Ice</v>
      </c>
      <c r="CI218" s="391">
        <f t="shared" si="370"/>
        <v>70</v>
      </c>
      <c r="CJ218" s="389" t="str">
        <f t="shared" si="371"/>
        <v>12:1:Ahead</v>
      </c>
      <c r="CK218" s="554" t="str">
        <f t="shared" si="372"/>
        <v>% Wire Ice</v>
      </c>
      <c r="CL218" s="391">
        <f t="shared" si="373"/>
        <v>70</v>
      </c>
      <c r="CM218" s="389" t="str">
        <f t="shared" si="374"/>
        <v>3:1:Back+Ahead</v>
      </c>
      <c r="CN218" s="554" t="str">
        <f t="shared" si="375"/>
        <v>% Wire Ice</v>
      </c>
      <c r="CO218" s="391">
        <f t="shared" si="376"/>
        <v>70</v>
      </c>
      <c r="CP218" s="554" t="str">
        <f t="shared" si="377"/>
        <v>13:1:Ahead</v>
      </c>
      <c r="CQ218" s="554" t="str">
        <f t="shared" si="378"/>
        <v>% Wire Ice</v>
      </c>
      <c r="CR218" s="554">
        <f t="shared" si="379"/>
        <v>70</v>
      </c>
      <c r="CS218" s="554" t="str">
        <f t="shared" si="380"/>
        <v>7:1:Back+Ahead</v>
      </c>
      <c r="CT218" s="554" t="str">
        <f t="shared" si="381"/>
        <v>% Wire Ice</v>
      </c>
      <c r="CU218" s="554">
        <f t="shared" si="382"/>
        <v>70</v>
      </c>
      <c r="CV218" s="554" t="str">
        <f t="shared" si="383"/>
        <v>17:1:Ahead</v>
      </c>
      <c r="CW218" s="554" t="str">
        <f t="shared" si="384"/>
        <v>% Wire Ice</v>
      </c>
      <c r="CX218" s="554">
        <f t="shared" si="385"/>
        <v>70</v>
      </c>
      <c r="CY218" s="554" t="str">
        <f t="shared" si="386"/>
        <v>8:1:Back+Ahead</v>
      </c>
      <c r="CZ218" s="554" t="str">
        <f t="shared" si="387"/>
        <v>% Wire Ice</v>
      </c>
      <c r="DA218" s="554">
        <f t="shared" si="388"/>
        <v>70</v>
      </c>
      <c r="DB218" s="554" t="str">
        <f t="shared" si="389"/>
        <v>18:1:Ahead</v>
      </c>
      <c r="DC218" s="554" t="str">
        <f t="shared" si="390"/>
        <v>% Wire Ice</v>
      </c>
      <c r="DD218" s="554">
        <f t="shared" si="391"/>
        <v>70</v>
      </c>
      <c r="DE218" s="534"/>
      <c r="DF218" s="534"/>
      <c r="DG218" s="534"/>
    </row>
    <row r="219" spans="1:111" ht="15" hidden="1" x14ac:dyDescent="0.25">
      <c r="A219" s="549" t="str">
        <f>IFERROR(IF(INDEX('Weather Cases'!$E$10:$E$94,MATCH('Load Criteria'!X219,'Weather Cases'!$H$10:$H$94,0),1)=1,1,"-"),"-")</f>
        <v>-</v>
      </c>
      <c r="B219" s="556" t="s">
        <v>22</v>
      </c>
      <c r="C219" s="556" t="s">
        <v>22</v>
      </c>
      <c r="D219" s="556" t="s">
        <v>22</v>
      </c>
      <c r="E219" s="556" t="s">
        <v>22</v>
      </c>
      <c r="F219" s="556" t="s">
        <v>22</v>
      </c>
      <c r="G219" s="556" t="str">
        <f>IFERROR(IF(MID('Load Criteria'!X219,FIND("_",'Load Criteria'!X219,1)+1,1)=LEFT(Control!$D$23,1),"YES","-"),"-")</f>
        <v>-</v>
      </c>
      <c r="H219" s="549" t="s">
        <v>22</v>
      </c>
      <c r="I219" s="256" t="s">
        <v>577</v>
      </c>
      <c r="J219" s="550"/>
      <c r="K219" s="550"/>
      <c r="L219" s="550"/>
      <c r="M219" s="550"/>
      <c r="N219" s="550"/>
      <c r="O219" s="550"/>
      <c r="P219" s="392"/>
      <c r="Q219" s="392"/>
      <c r="R219" s="392"/>
      <c r="S219" s="392"/>
      <c r="T219" s="392"/>
      <c r="U219" s="550"/>
      <c r="V219" s="551"/>
      <c r="W219" s="542"/>
      <c r="X219" s="552"/>
      <c r="Y219" s="552"/>
      <c r="Z219" s="552"/>
      <c r="AA219" s="552"/>
      <c r="AB219" s="552"/>
      <c r="AC219" s="552"/>
      <c r="AD219" s="552"/>
      <c r="AE219" s="552"/>
      <c r="AF219" s="552"/>
      <c r="AG219" s="542"/>
      <c r="AH219" s="552"/>
      <c r="AI219" s="552"/>
      <c r="AJ219" s="552"/>
      <c r="AK219" s="552"/>
      <c r="AL219" s="552"/>
      <c r="AM219" s="552"/>
      <c r="AN219" s="552"/>
      <c r="AO219" s="552"/>
      <c r="AP219" s="552"/>
      <c r="AQ219" s="552"/>
      <c r="AR219" s="552"/>
      <c r="AS219" s="552"/>
      <c r="AT219" s="552"/>
      <c r="AU219" s="552"/>
      <c r="AV219" s="553"/>
      <c r="AW219" s="552"/>
      <c r="AX219" s="552"/>
      <c r="AY219" s="542" t="s">
        <v>578</v>
      </c>
      <c r="AZ219" s="552"/>
      <c r="BA219" s="554"/>
      <c r="BB219" s="552"/>
      <c r="BC219" s="554"/>
      <c r="BD219" s="552"/>
      <c r="BE219" s="554"/>
      <c r="BF219" s="554"/>
      <c r="BG219" s="554"/>
      <c r="BH219" s="554"/>
      <c r="BI219" s="554"/>
      <c r="BJ219" s="554"/>
      <c r="BK219" s="554"/>
      <c r="BL219" s="554"/>
      <c r="BM219" s="554"/>
      <c r="BN219" s="554"/>
      <c r="BO219" s="554"/>
      <c r="BP219" s="554"/>
      <c r="BQ219" s="554"/>
      <c r="BR219" s="554"/>
      <c r="BS219" s="554"/>
      <c r="BT219" s="554"/>
      <c r="BU219" s="554"/>
      <c r="BV219" s="554"/>
      <c r="BW219" s="554"/>
      <c r="BX219" s="554"/>
      <c r="BY219" s="554"/>
      <c r="BZ219" s="554"/>
      <c r="CA219" s="554"/>
      <c r="CB219" s="554"/>
      <c r="CC219" s="554"/>
      <c r="CD219" s="554"/>
      <c r="CE219" s="554"/>
      <c r="CF219" s="554"/>
      <c r="CG219" s="554"/>
      <c r="CH219" s="554"/>
      <c r="CI219" s="554"/>
      <c r="CJ219" s="554"/>
      <c r="CK219" s="554"/>
      <c r="CL219" s="554"/>
      <c r="CM219" s="554"/>
      <c r="CN219" s="554"/>
      <c r="CO219" s="554"/>
      <c r="CP219" s="554"/>
      <c r="CQ219" s="554"/>
      <c r="CR219" s="554"/>
      <c r="CS219" s="554"/>
      <c r="CT219" s="554"/>
      <c r="CU219" s="554"/>
      <c r="CV219" s="554"/>
      <c r="CW219" s="554"/>
      <c r="CX219" s="554"/>
      <c r="CY219" s="554"/>
      <c r="CZ219" s="554"/>
      <c r="DA219" s="554"/>
      <c r="DB219" s="554"/>
      <c r="DC219" s="554"/>
      <c r="DD219" s="554"/>
      <c r="DE219" s="534"/>
      <c r="DF219" s="534"/>
      <c r="DG219" s="534"/>
    </row>
    <row r="220" spans="1:111" ht="15" x14ac:dyDescent="0.25">
      <c r="A220" s="549">
        <f>IFERROR(IF(INDEX('Weather Cases'!$E$10:$E$94,MATCH('Load Criteria'!X220,'Weather Cases'!$H$10:$H$94,0),1)=1,1,"-"),"-")</f>
        <v>1</v>
      </c>
      <c r="B220" s="555" t="s">
        <v>558</v>
      </c>
      <c r="C220" s="555" t="s">
        <v>559</v>
      </c>
      <c r="D220" s="555" t="s">
        <v>579</v>
      </c>
      <c r="E220" s="555" t="s">
        <v>558</v>
      </c>
      <c r="F220" s="556" t="s">
        <v>22</v>
      </c>
      <c r="G220" s="556" t="str">
        <f>IFERROR(IF(MID('Load Criteria'!X220,FIND("_",'Load Criteria'!X220,1)+1,1)=LEFT(Control!$D$23,1),"YES","-"),"-")</f>
        <v>-</v>
      </c>
      <c r="H220" s="549" t="s">
        <v>22</v>
      </c>
      <c r="I220" s="557" t="s">
        <v>327</v>
      </c>
      <c r="J220" s="550">
        <f>Control!$D$25</f>
        <v>1</v>
      </c>
      <c r="K220" s="508" t="s">
        <v>569</v>
      </c>
      <c r="L220" s="508" t="s">
        <v>24</v>
      </c>
      <c r="M220" s="508"/>
      <c r="N220" s="508"/>
      <c r="O220" s="508"/>
      <c r="P220" s="395"/>
      <c r="Q220" s="395"/>
      <c r="R220" s="395"/>
      <c r="S220" s="395"/>
      <c r="T220" s="395"/>
      <c r="U220" s="255" t="s">
        <v>568</v>
      </c>
      <c r="V220" s="551" t="s">
        <v>300</v>
      </c>
      <c r="W220" s="542" t="str">
        <f t="shared" si="398"/>
        <v>RW0001_8+LA NA+</v>
      </c>
      <c r="X220" s="552" t="str">
        <f>I220&amp;TEXT(J220,"0000")&amp;"_"&amp;LEFT(Control!$D$22,LEN(Control!$D$22)-2)</f>
        <v>RW0001_8</v>
      </c>
      <c r="Y220" s="552" t="s">
        <v>433</v>
      </c>
      <c r="Z220" s="552" t="str">
        <f>U220</f>
        <v>NA+</v>
      </c>
      <c r="AA220" s="552"/>
      <c r="AB220" s="552">
        <v>1</v>
      </c>
      <c r="AC220" s="552">
        <v>1</v>
      </c>
      <c r="AD220" s="552">
        <v>1</v>
      </c>
      <c r="AE220" s="552">
        <v>1</v>
      </c>
      <c r="AF220" s="552">
        <v>1</v>
      </c>
      <c r="AG220" s="542" t="s">
        <v>561</v>
      </c>
      <c r="AH220" s="552">
        <v>0</v>
      </c>
      <c r="AI220" s="552">
        <v>0</v>
      </c>
      <c r="AJ220" s="552">
        <v>1</v>
      </c>
      <c r="AK220" s="552">
        <v>1</v>
      </c>
      <c r="AL220" s="552">
        <v>1</v>
      </c>
      <c r="AM220" s="552">
        <v>0</v>
      </c>
      <c r="AN220" s="552">
        <v>0</v>
      </c>
      <c r="AO220" s="552">
        <v>1</v>
      </c>
      <c r="AP220" s="552">
        <v>1</v>
      </c>
      <c r="AQ220" s="552">
        <v>1</v>
      </c>
      <c r="AR220" s="552">
        <v>1</v>
      </c>
      <c r="AS220" s="552">
        <v>1</v>
      </c>
      <c r="AT220" s="552">
        <v>1</v>
      </c>
      <c r="AU220" s="552">
        <v>1</v>
      </c>
      <c r="AV220" s="553" t="str">
        <f>IF(H220="YES",IF($AV$2="Y","'"&amp;INDEX('Structure Groups'!$C$12:$C$14,MATCH($B$5,'Structure Groups'!$B$12:$B$14,0),1)&amp;"'","'"&amp;INDEX('Structure Groups'!$C$16:$C$18,MATCH($B$5,'Structure Groups'!$B$16:$B$18,0),1)&amp;"'"),IF($AV$2="Y","'All'","'Stop'"))</f>
        <v>'Stop'</v>
      </c>
      <c r="AW220" s="552" t="s">
        <v>562</v>
      </c>
      <c r="AX220" s="552"/>
      <c r="AY220" s="552" t="str">
        <f t="shared" ref="AY220:AY263" si="401">IF(L220="","No","Yes")</f>
        <v>Yes</v>
      </c>
      <c r="AZ220" s="554" t="str">
        <f>IF($AY220="No","",IF($L220="A","Ahead Spans","Back Spans"))</f>
        <v>Ahead Spans</v>
      </c>
      <c r="BA220" s="554" t="str">
        <f>IF(AZ220="","","Broken Wire (# Broken Subconductors)")</f>
        <v>Broken Wire (# Broken Subconductors)</v>
      </c>
      <c r="BB220" s="552">
        <v>4</v>
      </c>
      <c r="BC220" s="554"/>
      <c r="BD220" s="554"/>
      <c r="BE220" s="552"/>
      <c r="BF220" s="554" t="str">
        <f>IF($N220="","",$N220&amp;":1:"&amp;IF($L220="A","Ahead","Back"))</f>
        <v/>
      </c>
      <c r="BG220" s="554" t="str">
        <f>IF(BF220="","","% Wire Ice")</f>
        <v/>
      </c>
      <c r="BH220" s="552" t="str">
        <f>IF(BF220="","",40)</f>
        <v/>
      </c>
      <c r="BI220" s="554" t="str">
        <f>IF($N220="","",$N220&amp;":1:"&amp;IF($L220="A","Back","Ahead"))</f>
        <v/>
      </c>
      <c r="BJ220" s="554" t="str">
        <f>IF(BI220="","","% Wire Ice")</f>
        <v/>
      </c>
      <c r="BK220" s="552" t="str">
        <f>IF(BH220="","",70)</f>
        <v/>
      </c>
      <c r="BL220" s="554" t="str">
        <f>IF($O220="","",$O220&amp;":1:"&amp;IF($L220="A","Ahead","Back"))</f>
        <v/>
      </c>
      <c r="BM220" s="554" t="str">
        <f>IF(BL220="","","% Wire Ice")</f>
        <v/>
      </c>
      <c r="BN220" s="552" t="str">
        <f>IF(BL220="","",40)</f>
        <v/>
      </c>
      <c r="BO220" s="554" t="str">
        <f>IF($O220="","",$O220&amp;":1:"&amp;IF($L220="A","Back","Ahead"))</f>
        <v/>
      </c>
      <c r="BP220" s="554" t="str">
        <f>IF(BO220="","","% Wire Ice")</f>
        <v/>
      </c>
      <c r="BQ220" s="552" t="str">
        <f>IF(BN220="","",70)</f>
        <v/>
      </c>
      <c r="BR220" s="554"/>
      <c r="BS220" s="554"/>
      <c r="BT220" s="554"/>
      <c r="BU220" s="554"/>
      <c r="BV220" s="554"/>
      <c r="BW220" s="554"/>
      <c r="BX220" s="554"/>
      <c r="BY220" s="554"/>
      <c r="BZ220" s="554"/>
      <c r="CA220" s="554"/>
      <c r="CB220" s="554"/>
      <c r="CC220" s="554"/>
      <c r="CD220" s="554"/>
      <c r="CE220" s="554"/>
      <c r="CF220" s="554"/>
      <c r="CG220" s="554"/>
      <c r="CH220" s="554"/>
      <c r="CI220" s="554"/>
      <c r="CJ220" s="554"/>
      <c r="CK220" s="554"/>
      <c r="CL220" s="554"/>
      <c r="CM220" s="554"/>
      <c r="CN220" s="554"/>
      <c r="CO220" s="554"/>
      <c r="CP220" s="554"/>
      <c r="CQ220" s="554"/>
      <c r="CR220" s="554"/>
      <c r="CS220" s="554"/>
      <c r="CT220" s="554"/>
      <c r="CU220" s="554"/>
      <c r="CV220" s="554"/>
      <c r="CW220" s="554"/>
      <c r="CX220" s="554"/>
      <c r="CY220" s="554"/>
      <c r="CZ220" s="554"/>
      <c r="DA220" s="554"/>
      <c r="DB220" s="554"/>
      <c r="DC220" s="554"/>
      <c r="DD220" s="554"/>
      <c r="DE220" s="534"/>
      <c r="DF220" s="534"/>
      <c r="DG220" s="534"/>
    </row>
    <row r="221" spans="1:111" ht="15" x14ac:dyDescent="0.25">
      <c r="A221" s="549">
        <f>IFERROR(IF(INDEX('Weather Cases'!$E$10:$E$94,MATCH('Load Criteria'!X221,'Weather Cases'!$H$10:$H$94,0),1)=1,1,"-"),"-")</f>
        <v>1</v>
      </c>
      <c r="B221" s="555" t="s">
        <v>558</v>
      </c>
      <c r="C221" s="555" t="s">
        <v>559</v>
      </c>
      <c r="D221" s="555" t="s">
        <v>579</v>
      </c>
      <c r="E221" s="555" t="s">
        <v>558</v>
      </c>
      <c r="F221" s="556" t="s">
        <v>22</v>
      </c>
      <c r="G221" s="556" t="str">
        <f>IFERROR(IF(MID('Load Criteria'!X221,FIND("_",'Load Criteria'!X221,1)+1,1)=LEFT(Control!$D$23,1),"YES","-"),"-")</f>
        <v>-</v>
      </c>
      <c r="H221" s="549" t="s">
        <v>22</v>
      </c>
      <c r="I221" s="557" t="s">
        <v>327</v>
      </c>
      <c r="J221" s="550">
        <f>Control!$D$25</f>
        <v>1</v>
      </c>
      <c r="K221" s="508" t="s">
        <v>569</v>
      </c>
      <c r="L221" s="508" t="s">
        <v>40</v>
      </c>
      <c r="M221" s="508"/>
      <c r="N221" s="508"/>
      <c r="O221" s="508"/>
      <c r="P221" s="395"/>
      <c r="Q221" s="395"/>
      <c r="R221" s="395"/>
      <c r="S221" s="395"/>
      <c r="T221" s="395"/>
      <c r="U221" s="255" t="s">
        <v>568</v>
      </c>
      <c r="V221" s="551" t="s">
        <v>300</v>
      </c>
      <c r="W221" s="542" t="str">
        <f t="shared" si="398"/>
        <v>RW0001_8+LB NA+</v>
      </c>
      <c r="X221" s="552" t="str">
        <f>I221&amp;TEXT(J221,"0000")&amp;"_"&amp;LEFT(Control!$D$22,LEN(Control!$D$22)-2)</f>
        <v>RW0001_8</v>
      </c>
      <c r="Y221" s="552" t="s">
        <v>433</v>
      </c>
      <c r="Z221" s="552" t="str">
        <f>U221</f>
        <v>NA+</v>
      </c>
      <c r="AA221" s="552"/>
      <c r="AB221" s="552">
        <v>1</v>
      </c>
      <c r="AC221" s="552">
        <v>1</v>
      </c>
      <c r="AD221" s="552">
        <v>1</v>
      </c>
      <c r="AE221" s="552">
        <v>1</v>
      </c>
      <c r="AF221" s="552">
        <v>1</v>
      </c>
      <c r="AG221" s="542" t="s">
        <v>561</v>
      </c>
      <c r="AH221" s="552">
        <v>0</v>
      </c>
      <c r="AI221" s="552">
        <v>0</v>
      </c>
      <c r="AJ221" s="552">
        <v>1</v>
      </c>
      <c r="AK221" s="552">
        <v>1</v>
      </c>
      <c r="AL221" s="552">
        <v>1</v>
      </c>
      <c r="AM221" s="552">
        <v>0</v>
      </c>
      <c r="AN221" s="552">
        <v>0</v>
      </c>
      <c r="AO221" s="552">
        <v>1</v>
      </c>
      <c r="AP221" s="552">
        <v>1</v>
      </c>
      <c r="AQ221" s="552">
        <v>1</v>
      </c>
      <c r="AR221" s="552">
        <v>1</v>
      </c>
      <c r="AS221" s="552">
        <v>1</v>
      </c>
      <c r="AT221" s="552">
        <v>1</v>
      </c>
      <c r="AU221" s="552">
        <v>1</v>
      </c>
      <c r="AV221" s="553" t="str">
        <f>IF(H221="YES",IF($AV$2="Y","'"&amp;INDEX('Structure Groups'!$C$12:$C$14,MATCH($B$5,'Structure Groups'!$B$12:$B$14,0),1)&amp;"'","'"&amp;INDEX('Structure Groups'!$C$16:$C$18,MATCH($B$5,'Structure Groups'!$B$16:$B$18,0),1)&amp;"'"),IF($AV$2="Y","'All'","'Stop'"))</f>
        <v>'Stop'</v>
      </c>
      <c r="AW221" s="552" t="s">
        <v>562</v>
      </c>
      <c r="AX221" s="552"/>
      <c r="AY221" s="552" t="str">
        <f t="shared" si="401"/>
        <v>Yes</v>
      </c>
      <c r="AZ221" s="554" t="str">
        <f>IF($AY221="No","",IF($L221="A","Ahead Spans","Back Spans"))</f>
        <v>Back Spans</v>
      </c>
      <c r="BA221" s="554" t="str">
        <f>IF(AZ221="","","Broken Wire (# Broken Subconductors)")</f>
        <v>Broken Wire (# Broken Subconductors)</v>
      </c>
      <c r="BB221" s="552">
        <v>4</v>
      </c>
      <c r="BC221" s="554"/>
      <c r="BD221" s="554"/>
      <c r="BE221" s="552"/>
      <c r="BF221" s="554" t="str">
        <f>IF($N221="","",$N221&amp;":1:"&amp;IF($L221="A","Ahead","Back"))</f>
        <v/>
      </c>
      <c r="BG221" s="554" t="str">
        <f>IF(BF221="","","% Wire Ice")</f>
        <v/>
      </c>
      <c r="BH221" s="552" t="str">
        <f>IF(BF221="","",40)</f>
        <v/>
      </c>
      <c r="BI221" s="554" t="str">
        <f>IF($N221="","",$N221&amp;":1:"&amp;IF($L221="A","Back","Ahead"))</f>
        <v/>
      </c>
      <c r="BJ221" s="554" t="str">
        <f>IF(BI221="","","% Wire Ice")</f>
        <v/>
      </c>
      <c r="BK221" s="552" t="str">
        <f>IF(BH221="","",70)</f>
        <v/>
      </c>
      <c r="BL221" s="554" t="str">
        <f>IF($O221="","",$O221&amp;":1:"&amp;IF($L221="A","Ahead","Back"))</f>
        <v/>
      </c>
      <c r="BM221" s="554" t="str">
        <f>IF(BL221="","","% Wire Ice")</f>
        <v/>
      </c>
      <c r="BN221" s="552" t="str">
        <f>IF(BL221="","",40)</f>
        <v/>
      </c>
      <c r="BO221" s="554" t="str">
        <f>IF($O221="","",$O221&amp;":1:"&amp;IF($L221="A","Back","Ahead"))</f>
        <v/>
      </c>
      <c r="BP221" s="554" t="str">
        <f>IF(BO221="","","% Wire Ice")</f>
        <v/>
      </c>
      <c r="BQ221" s="552" t="str">
        <f>IF(BN221="","",70)</f>
        <v/>
      </c>
      <c r="BR221" s="554"/>
      <c r="BS221" s="554"/>
      <c r="BT221" s="554"/>
      <c r="BU221" s="554"/>
      <c r="BV221" s="554"/>
      <c r="BW221" s="554"/>
      <c r="BX221" s="554"/>
      <c r="BY221" s="554"/>
      <c r="BZ221" s="554"/>
      <c r="CA221" s="554"/>
      <c r="CB221" s="554"/>
      <c r="CC221" s="554"/>
      <c r="CD221" s="554"/>
      <c r="CE221" s="554"/>
      <c r="CF221" s="554"/>
      <c r="CG221" s="554"/>
      <c r="CH221" s="554"/>
      <c r="CI221" s="554"/>
      <c r="CJ221" s="554"/>
      <c r="CK221" s="554"/>
      <c r="CL221" s="554"/>
      <c r="CM221" s="554"/>
      <c r="CN221" s="554"/>
      <c r="CO221" s="554"/>
      <c r="CP221" s="554"/>
      <c r="CQ221" s="554"/>
      <c r="CR221" s="554"/>
      <c r="CS221" s="554"/>
      <c r="CT221" s="554"/>
      <c r="CU221" s="554"/>
      <c r="CV221" s="554"/>
      <c r="CW221" s="554"/>
      <c r="CX221" s="554"/>
      <c r="CY221" s="554"/>
      <c r="CZ221" s="554"/>
      <c r="DA221" s="554"/>
      <c r="DB221" s="554"/>
      <c r="DC221" s="554"/>
      <c r="DD221" s="554"/>
      <c r="DE221" s="534"/>
      <c r="DF221" s="534"/>
      <c r="DG221" s="534"/>
    </row>
    <row r="222" spans="1:111" ht="15" x14ac:dyDescent="0.25">
      <c r="A222" s="549">
        <f>IFERROR(IF(INDEX('Weather Cases'!$E$10:$E$94,MATCH('Load Criteria'!X222,'Weather Cases'!$H$10:$H$94,0),1)=1,1,"-"),"-")</f>
        <v>1</v>
      </c>
      <c r="B222" s="555" t="s">
        <v>558</v>
      </c>
      <c r="C222" s="555" t="s">
        <v>559</v>
      </c>
      <c r="D222" s="555" t="s">
        <v>579</v>
      </c>
      <c r="E222" s="555" t="s">
        <v>558</v>
      </c>
      <c r="F222" s="556" t="s">
        <v>22</v>
      </c>
      <c r="G222" s="556" t="str">
        <f>IFERROR(IF(MID('Load Criteria'!X222,FIND("_",'Load Criteria'!X222,1)+1,1)=LEFT(Control!$D$23,1),"YES","-"),"-")</f>
        <v>-</v>
      </c>
      <c r="H222" s="549" t="s">
        <v>22</v>
      </c>
      <c r="I222" s="557" t="s">
        <v>327</v>
      </c>
      <c r="J222" s="550">
        <f>Control!$D$25</f>
        <v>1</v>
      </c>
      <c r="K222" s="508" t="s">
        <v>569</v>
      </c>
      <c r="L222" s="508" t="s">
        <v>24</v>
      </c>
      <c r="M222" s="508"/>
      <c r="N222" s="508"/>
      <c r="O222" s="508"/>
      <c r="P222" s="395"/>
      <c r="Q222" s="395"/>
      <c r="R222" s="395"/>
      <c r="S222" s="395"/>
      <c r="T222" s="395"/>
      <c r="U222" s="255" t="s">
        <v>574</v>
      </c>
      <c r="V222" s="551" t="s">
        <v>300</v>
      </c>
      <c r="W222" s="542" t="str">
        <f t="shared" ref="W222:W223" si="402">X222&amp;"+"&amp;K222&amp;IF(L222="","",CONCATENATE(L222,M222,N222,O222))&amp;" "&amp;U222</f>
        <v>RW0001_8+LA NA-</v>
      </c>
      <c r="X222" s="552" t="str">
        <f>I222&amp;TEXT(J222,"0000")&amp;"_"&amp;LEFT(Control!$D$22,LEN(Control!$D$22)-2)</f>
        <v>RW0001_8</v>
      </c>
      <c r="Y222" s="552" t="s">
        <v>433</v>
      </c>
      <c r="Z222" s="552" t="str">
        <f>U222</f>
        <v>NA-</v>
      </c>
      <c r="AA222" s="552"/>
      <c r="AB222" s="552">
        <v>1</v>
      </c>
      <c r="AC222" s="552">
        <v>1</v>
      </c>
      <c r="AD222" s="552">
        <v>1</v>
      </c>
      <c r="AE222" s="552">
        <v>1</v>
      </c>
      <c r="AF222" s="552">
        <v>1</v>
      </c>
      <c r="AG222" s="542" t="s">
        <v>561</v>
      </c>
      <c r="AH222" s="552">
        <v>0</v>
      </c>
      <c r="AI222" s="552">
        <v>0</v>
      </c>
      <c r="AJ222" s="552">
        <v>1</v>
      </c>
      <c r="AK222" s="552">
        <v>1</v>
      </c>
      <c r="AL222" s="552">
        <v>1</v>
      </c>
      <c r="AM222" s="552">
        <v>0</v>
      </c>
      <c r="AN222" s="552">
        <v>0</v>
      </c>
      <c r="AO222" s="552">
        <v>1</v>
      </c>
      <c r="AP222" s="552">
        <v>1</v>
      </c>
      <c r="AQ222" s="552">
        <v>1</v>
      </c>
      <c r="AR222" s="552">
        <v>1</v>
      </c>
      <c r="AS222" s="552">
        <v>1</v>
      </c>
      <c r="AT222" s="552">
        <v>1</v>
      </c>
      <c r="AU222" s="552">
        <v>1</v>
      </c>
      <c r="AV222" s="553" t="str">
        <f>IF(H222="YES",IF($AV$2="Y","'"&amp;INDEX('Structure Groups'!$C$12:$C$14,MATCH($B$5,'Structure Groups'!$B$12:$B$14,0),1)&amp;"'","'"&amp;INDEX('Structure Groups'!$C$16:$C$18,MATCH($B$5,'Structure Groups'!$B$16:$B$18,0),1)&amp;"'"),IF($AV$2="Y","'All'","'Stop'"))</f>
        <v>'Stop'</v>
      </c>
      <c r="AW222" s="552" t="s">
        <v>562</v>
      </c>
      <c r="AX222" s="552"/>
      <c r="AY222" s="552" t="str">
        <f t="shared" si="401"/>
        <v>Yes</v>
      </c>
      <c r="AZ222" s="554" t="str">
        <f>IF($AY222="No","",IF($L222="A","Ahead Spans","Back Spans"))</f>
        <v>Ahead Spans</v>
      </c>
      <c r="BA222" s="554" t="str">
        <f>IF(AZ222="","","Broken Wire (# Broken Subconductors)")</f>
        <v>Broken Wire (# Broken Subconductors)</v>
      </c>
      <c r="BB222" s="552">
        <v>4</v>
      </c>
      <c r="BC222" s="554"/>
      <c r="BD222" s="554"/>
      <c r="BE222" s="552"/>
      <c r="BF222" s="554" t="str">
        <f>IF($N222="","",$N222&amp;":1:"&amp;IF($L222="A","Ahead","Back"))</f>
        <v/>
      </c>
      <c r="BG222" s="554" t="str">
        <f>IF(BF222="","","% Wire Ice")</f>
        <v/>
      </c>
      <c r="BH222" s="552" t="str">
        <f>IF(BF222="","",40)</f>
        <v/>
      </c>
      <c r="BI222" s="554" t="str">
        <f>IF($N222="","",$N222&amp;":1:"&amp;IF($L222="A","Back","Ahead"))</f>
        <v/>
      </c>
      <c r="BJ222" s="554" t="str">
        <f>IF(BI222="","","% Wire Ice")</f>
        <v/>
      </c>
      <c r="BK222" s="552" t="str">
        <f>IF(BH222="","",70)</f>
        <v/>
      </c>
      <c r="BL222" s="554" t="str">
        <f>IF($O222="","",$O222&amp;":1:"&amp;IF($L222="A","Ahead","Back"))</f>
        <v/>
      </c>
      <c r="BM222" s="554" t="str">
        <f>IF(BL222="","","% Wire Ice")</f>
        <v/>
      </c>
      <c r="BN222" s="552" t="str">
        <f>IF(BL222="","",40)</f>
        <v/>
      </c>
      <c r="BO222" s="554" t="str">
        <f>IF($O222="","",$O222&amp;":1:"&amp;IF($L222="A","Back","Ahead"))</f>
        <v/>
      </c>
      <c r="BP222" s="554" t="str">
        <f>IF(BO222="","","% Wire Ice")</f>
        <v/>
      </c>
      <c r="BQ222" s="552" t="str">
        <f>IF(BN222="","",70)</f>
        <v/>
      </c>
      <c r="BR222" s="554"/>
      <c r="BS222" s="554"/>
      <c r="BT222" s="554"/>
      <c r="BU222" s="554"/>
      <c r="BV222" s="554"/>
      <c r="BW222" s="554"/>
      <c r="BX222" s="554"/>
      <c r="BY222" s="554"/>
      <c r="BZ222" s="554"/>
      <c r="CA222" s="554"/>
      <c r="CB222" s="554"/>
      <c r="CC222" s="554"/>
      <c r="CD222" s="554"/>
      <c r="CE222" s="554"/>
      <c r="CF222" s="554"/>
      <c r="CG222" s="554"/>
      <c r="CH222" s="554"/>
      <c r="CI222" s="554"/>
      <c r="CJ222" s="554"/>
      <c r="CK222" s="554"/>
      <c r="CL222" s="554"/>
      <c r="CM222" s="554"/>
      <c r="CN222" s="554"/>
      <c r="CO222" s="554"/>
      <c r="CP222" s="554"/>
      <c r="CQ222" s="554"/>
      <c r="CR222" s="554"/>
      <c r="CS222" s="554"/>
      <c r="CT222" s="554"/>
      <c r="CU222" s="554"/>
      <c r="CV222" s="554"/>
      <c r="CW222" s="554"/>
      <c r="CX222" s="554"/>
      <c r="CY222" s="554"/>
      <c r="CZ222" s="554"/>
      <c r="DA222" s="554"/>
      <c r="DB222" s="554"/>
      <c r="DC222" s="554"/>
      <c r="DD222" s="554"/>
      <c r="DE222" s="534"/>
      <c r="DF222" s="534"/>
      <c r="DG222" s="534"/>
    </row>
    <row r="223" spans="1:111" ht="15" x14ac:dyDescent="0.25">
      <c r="A223" s="549">
        <f>IFERROR(IF(INDEX('Weather Cases'!$E$10:$E$94,MATCH('Load Criteria'!X223,'Weather Cases'!$H$10:$H$94,0),1)=1,1,"-"),"-")</f>
        <v>1</v>
      </c>
      <c r="B223" s="555" t="s">
        <v>558</v>
      </c>
      <c r="C223" s="555" t="s">
        <v>559</v>
      </c>
      <c r="D223" s="555" t="s">
        <v>579</v>
      </c>
      <c r="E223" s="555" t="s">
        <v>558</v>
      </c>
      <c r="F223" s="556" t="s">
        <v>22</v>
      </c>
      <c r="G223" s="556" t="str">
        <f>IFERROR(IF(MID('Load Criteria'!X223,FIND("_",'Load Criteria'!X223,1)+1,1)=LEFT(Control!$D$23,1),"YES","-"),"-")</f>
        <v>-</v>
      </c>
      <c r="H223" s="549" t="s">
        <v>22</v>
      </c>
      <c r="I223" s="557" t="s">
        <v>327</v>
      </c>
      <c r="J223" s="550">
        <f>Control!$D$25</f>
        <v>1</v>
      </c>
      <c r="K223" s="508" t="s">
        <v>569</v>
      </c>
      <c r="L223" s="508" t="s">
        <v>40</v>
      </c>
      <c r="M223" s="508"/>
      <c r="N223" s="508"/>
      <c r="O223" s="508"/>
      <c r="P223" s="395"/>
      <c r="Q223" s="395"/>
      <c r="R223" s="395"/>
      <c r="S223" s="395"/>
      <c r="T223" s="395"/>
      <c r="U223" s="255" t="s">
        <v>574</v>
      </c>
      <c r="V223" s="551" t="s">
        <v>300</v>
      </c>
      <c r="W223" s="542" t="str">
        <f t="shared" si="402"/>
        <v>RW0001_8+LB NA-</v>
      </c>
      <c r="X223" s="552" t="str">
        <f>I223&amp;TEXT(J223,"0000")&amp;"_"&amp;LEFT(Control!$D$22,LEN(Control!$D$22)-2)</f>
        <v>RW0001_8</v>
      </c>
      <c r="Y223" s="552" t="s">
        <v>433</v>
      </c>
      <c r="Z223" s="552" t="str">
        <f>U223</f>
        <v>NA-</v>
      </c>
      <c r="AA223" s="552"/>
      <c r="AB223" s="552">
        <v>1</v>
      </c>
      <c r="AC223" s="552">
        <v>1</v>
      </c>
      <c r="AD223" s="552">
        <v>1</v>
      </c>
      <c r="AE223" s="552">
        <v>1</v>
      </c>
      <c r="AF223" s="552">
        <v>1</v>
      </c>
      <c r="AG223" s="542" t="s">
        <v>561</v>
      </c>
      <c r="AH223" s="552">
        <v>0</v>
      </c>
      <c r="AI223" s="552">
        <v>0</v>
      </c>
      <c r="AJ223" s="552">
        <v>1</v>
      </c>
      <c r="AK223" s="552">
        <v>1</v>
      </c>
      <c r="AL223" s="552">
        <v>1</v>
      </c>
      <c r="AM223" s="552">
        <v>0</v>
      </c>
      <c r="AN223" s="552">
        <v>0</v>
      </c>
      <c r="AO223" s="552">
        <v>1</v>
      </c>
      <c r="AP223" s="552">
        <v>1</v>
      </c>
      <c r="AQ223" s="552">
        <v>1</v>
      </c>
      <c r="AR223" s="552">
        <v>1</v>
      </c>
      <c r="AS223" s="552">
        <v>1</v>
      </c>
      <c r="AT223" s="552">
        <v>1</v>
      </c>
      <c r="AU223" s="552">
        <v>1</v>
      </c>
      <c r="AV223" s="553" t="str">
        <f>IF(H223="YES",IF($AV$2="Y","'"&amp;INDEX('Structure Groups'!$C$12:$C$14,MATCH($B$5,'Structure Groups'!$B$12:$B$14,0),1)&amp;"'","'"&amp;INDEX('Structure Groups'!$C$16:$C$18,MATCH($B$5,'Structure Groups'!$B$16:$B$18,0),1)&amp;"'"),IF($AV$2="Y","'All'","'Stop'"))</f>
        <v>'Stop'</v>
      </c>
      <c r="AW223" s="552" t="s">
        <v>562</v>
      </c>
      <c r="AX223" s="552"/>
      <c r="AY223" s="552" t="str">
        <f t="shared" si="401"/>
        <v>Yes</v>
      </c>
      <c r="AZ223" s="554" t="str">
        <f>IF($AY223="No","",IF($L223="A","Ahead Spans","Back Spans"))</f>
        <v>Back Spans</v>
      </c>
      <c r="BA223" s="554" t="str">
        <f>IF(AZ223="","","Broken Wire (# Broken Subconductors)")</f>
        <v>Broken Wire (# Broken Subconductors)</v>
      </c>
      <c r="BB223" s="552">
        <v>4</v>
      </c>
      <c r="BC223" s="554"/>
      <c r="BD223" s="554"/>
      <c r="BE223" s="552"/>
      <c r="BF223" s="554" t="str">
        <f>IF($N223="","",$N223&amp;":1:"&amp;IF($L223="A","Ahead","Back"))</f>
        <v/>
      </c>
      <c r="BG223" s="554" t="str">
        <f>IF(BF223="","","% Wire Ice")</f>
        <v/>
      </c>
      <c r="BH223" s="552" t="str">
        <f>IF(BF223="","",40)</f>
        <v/>
      </c>
      <c r="BI223" s="554" t="str">
        <f>IF($N223="","",$N223&amp;":1:"&amp;IF($L223="A","Back","Ahead"))</f>
        <v/>
      </c>
      <c r="BJ223" s="554" t="str">
        <f>IF(BI223="","","% Wire Ice")</f>
        <v/>
      </c>
      <c r="BK223" s="552" t="str">
        <f>IF(BH223="","",70)</f>
        <v/>
      </c>
      <c r="BL223" s="554" t="str">
        <f>IF($O223="","",$O223&amp;":1:"&amp;IF($L223="A","Ahead","Back"))</f>
        <v/>
      </c>
      <c r="BM223" s="554" t="str">
        <f>IF(BL223="","","% Wire Ice")</f>
        <v/>
      </c>
      <c r="BN223" s="552" t="str">
        <f>IF(BL223="","",40)</f>
        <v/>
      </c>
      <c r="BO223" s="554" t="str">
        <f>IF($O223="","",$O223&amp;":1:"&amp;IF($L223="A","Back","Ahead"))</f>
        <v/>
      </c>
      <c r="BP223" s="554" t="str">
        <f>IF(BO223="","","% Wire Ice")</f>
        <v/>
      </c>
      <c r="BQ223" s="552" t="str">
        <f>IF(BN223="","",70)</f>
        <v/>
      </c>
      <c r="BR223" s="554"/>
      <c r="BS223" s="554"/>
      <c r="BT223" s="554"/>
      <c r="BU223" s="554"/>
      <c r="BV223" s="554"/>
      <c r="BW223" s="554"/>
      <c r="BX223" s="554"/>
      <c r="BY223" s="554"/>
      <c r="BZ223" s="554"/>
      <c r="CA223" s="554"/>
      <c r="CB223" s="554"/>
      <c r="CC223" s="554"/>
      <c r="CD223" s="554"/>
      <c r="CE223" s="554"/>
      <c r="CF223" s="554"/>
      <c r="CG223" s="554"/>
      <c r="CH223" s="554"/>
      <c r="CI223" s="554"/>
      <c r="CJ223" s="554"/>
      <c r="CK223" s="554"/>
      <c r="CL223" s="554"/>
      <c r="CM223" s="554"/>
      <c r="CN223" s="554"/>
      <c r="CO223" s="554"/>
      <c r="CP223" s="554"/>
      <c r="CQ223" s="554"/>
      <c r="CR223" s="554"/>
      <c r="CS223" s="554"/>
      <c r="CT223" s="554"/>
      <c r="CU223" s="554"/>
      <c r="CV223" s="554"/>
      <c r="CW223" s="554"/>
      <c r="CX223" s="554"/>
      <c r="CY223" s="554"/>
      <c r="CZ223" s="554"/>
      <c r="DA223" s="554"/>
      <c r="DB223" s="554"/>
      <c r="DC223" s="554"/>
      <c r="DD223" s="554"/>
      <c r="DE223" s="534"/>
      <c r="DF223" s="534"/>
      <c r="DG223" s="534"/>
    </row>
    <row r="224" spans="1:111" ht="15" x14ac:dyDescent="0.25">
      <c r="A224" s="549">
        <f>IFERROR(IF(INDEX('Weather Cases'!$E$10:$E$94,MATCH('Load Criteria'!X224,'Weather Cases'!$H$10:$H$94,0),1)=1,1,"-"),"-")</f>
        <v>1</v>
      </c>
      <c r="B224" s="555" t="s">
        <v>558</v>
      </c>
      <c r="C224" s="555" t="s">
        <v>559</v>
      </c>
      <c r="D224" s="555" t="s">
        <v>579</v>
      </c>
      <c r="E224" s="555">
        <v>1</v>
      </c>
      <c r="F224" s="556" t="s">
        <v>22</v>
      </c>
      <c r="G224" s="556" t="str">
        <f>IFERROR(IF(MID('Load Criteria'!X224,FIND("_",'Load Criteria'!X224,1)+1,1)=LEFT(Control!$D$23,1),"YES","-"),"-")</f>
        <v>-</v>
      </c>
      <c r="H224" s="549" t="s">
        <v>22</v>
      </c>
      <c r="I224" s="557" t="s">
        <v>327</v>
      </c>
      <c r="J224" s="550">
        <f>Control!$D$25</f>
        <v>1</v>
      </c>
      <c r="K224" s="508" t="s">
        <v>571</v>
      </c>
      <c r="L224" s="508" t="s">
        <v>24</v>
      </c>
      <c r="M224" s="508">
        <v>1</v>
      </c>
      <c r="N224" s="508"/>
      <c r="O224" s="508"/>
      <c r="P224" s="395"/>
      <c r="Q224" s="395"/>
      <c r="R224" s="395"/>
      <c r="S224" s="395"/>
      <c r="T224" s="395"/>
      <c r="U224" s="255" t="s">
        <v>568</v>
      </c>
      <c r="V224" s="551" t="s">
        <v>300</v>
      </c>
      <c r="W224" s="542" t="str">
        <f t="shared" si="398"/>
        <v>RW0001_8+TA1 NA+</v>
      </c>
      <c r="X224" s="552" t="str">
        <f>I224&amp;TEXT(J224,"0000")&amp;"_"&amp;LEFT(Control!$D$22,LEN(Control!$D$22)-2)</f>
        <v>RW0001_8</v>
      </c>
      <c r="Y224" s="552" t="s">
        <v>433</v>
      </c>
      <c r="Z224" s="552" t="str">
        <f>U224</f>
        <v>NA+</v>
      </c>
      <c r="AA224" s="552"/>
      <c r="AB224" s="552">
        <v>1</v>
      </c>
      <c r="AC224" s="552">
        <v>1</v>
      </c>
      <c r="AD224" s="552">
        <v>1</v>
      </c>
      <c r="AE224" s="552">
        <v>1</v>
      </c>
      <c r="AF224" s="552">
        <v>1</v>
      </c>
      <c r="AG224" s="542" t="s">
        <v>561</v>
      </c>
      <c r="AH224" s="552">
        <v>0</v>
      </c>
      <c r="AI224" s="552">
        <v>0</v>
      </c>
      <c r="AJ224" s="552">
        <v>1</v>
      </c>
      <c r="AK224" s="552">
        <v>1</v>
      </c>
      <c r="AL224" s="552">
        <v>1</v>
      </c>
      <c r="AM224" s="552">
        <v>0</v>
      </c>
      <c r="AN224" s="552">
        <v>0</v>
      </c>
      <c r="AO224" s="552">
        <v>1</v>
      </c>
      <c r="AP224" s="552">
        <v>1</v>
      </c>
      <c r="AQ224" s="552">
        <v>1</v>
      </c>
      <c r="AR224" s="552">
        <v>1</v>
      </c>
      <c r="AS224" s="552">
        <v>1</v>
      </c>
      <c r="AT224" s="552">
        <v>1</v>
      </c>
      <c r="AU224" s="552">
        <v>1</v>
      </c>
      <c r="AV224" s="592" t="s">
        <v>1132</v>
      </c>
      <c r="AW224" s="552" t="s">
        <v>562</v>
      </c>
      <c r="AX224" s="552"/>
      <c r="AY224" s="552" t="str">
        <f t="shared" si="401"/>
        <v>Yes</v>
      </c>
      <c r="AZ224" s="554" t="str">
        <f>IF($M224="","",$M224&amp;":1:"&amp;IF($L224="A","Ahead","Back"))</f>
        <v>1:1:Ahead</v>
      </c>
      <c r="BA224" s="554" t="str">
        <f>IF(AZ224="","","Broken Wire (# Broken Subconductors)")</f>
        <v>Broken Wire (# Broken Subconductors)</v>
      </c>
      <c r="BB224" s="552">
        <f>IF(AZ224="","",4)</f>
        <v>4</v>
      </c>
      <c r="BC224" s="554" t="str">
        <f>IF($M224="","",$M224+10&amp;":1:"&amp;IF($L224="A","Ahead","Back"))</f>
        <v>11:1:Ahead</v>
      </c>
      <c r="BD224" s="554" t="str">
        <f>IF(BC224="","","Broken Wire (# Broken Subconductors)")</f>
        <v>Broken Wire (# Broken Subconductors)</v>
      </c>
      <c r="BE224" s="552">
        <f>IF(BC224="","",4)</f>
        <v>4</v>
      </c>
      <c r="BF224" s="554" t="str">
        <f t="shared" ref="BF224:BF307" si="403">IF($N224="","",$N224&amp;":1:"&amp;IF($L224="A","Ahead","Back"))</f>
        <v/>
      </c>
      <c r="BG224" s="554" t="str">
        <f>IF(BF224="","","Broken Wire (# Broken Subconductors)")</f>
        <v/>
      </c>
      <c r="BH224" s="552" t="str">
        <f>IF(BF224="","",4)</f>
        <v/>
      </c>
      <c r="BI224" s="554" t="str">
        <f>IF($N224="","",$N224+10&amp;":1:"&amp;IF($L224="A","Ahead","Back"))</f>
        <v/>
      </c>
      <c r="BJ224" s="554" t="str">
        <f>IF(BI224="","","Broken Wire (# Broken Subconductors)")</f>
        <v/>
      </c>
      <c r="BK224" s="552" t="str">
        <f>IF(BI224="","",4)</f>
        <v/>
      </c>
      <c r="BL224" s="554" t="str">
        <f>IF($O224="","",$O224&amp;":1:"&amp;IF($L224="A","Ahead","Back"))</f>
        <v/>
      </c>
      <c r="BM224" s="554" t="str">
        <f>IF(BL224="","","Broken Wire (# Broken Subconductors)")</f>
        <v/>
      </c>
      <c r="BN224" s="552" t="str">
        <f>IF(BL224="","",4)</f>
        <v/>
      </c>
      <c r="BO224" s="554" t="str">
        <f>IF($O224="","",$O224+10&amp;":1:"&amp;IF($L224="A","Ahead","Back"))</f>
        <v/>
      </c>
      <c r="BP224" s="554" t="str">
        <f>IF(BO224="","","Broken Wire (# Broken Subconductors)")</f>
        <v/>
      </c>
      <c r="BQ224" s="552" t="str">
        <f>IF(BO224="","",4)</f>
        <v/>
      </c>
      <c r="BR224" s="554"/>
      <c r="BS224" s="554"/>
      <c r="BT224" s="554"/>
      <c r="BU224" s="554"/>
      <c r="BV224" s="554"/>
      <c r="BW224" s="554"/>
      <c r="BX224" s="554"/>
      <c r="BY224" s="554"/>
      <c r="BZ224" s="554"/>
      <c r="CA224" s="554"/>
      <c r="CB224" s="554"/>
      <c r="CC224" s="554"/>
      <c r="CD224" s="554"/>
      <c r="CE224" s="554"/>
      <c r="CF224" s="554"/>
      <c r="CG224" s="554"/>
      <c r="CH224" s="554"/>
      <c r="CI224" s="554"/>
      <c r="CJ224" s="554"/>
      <c r="CK224" s="554"/>
      <c r="CL224" s="554"/>
      <c r="CM224" s="554"/>
      <c r="CN224" s="554"/>
      <c r="CO224" s="554"/>
      <c r="CP224" s="554"/>
      <c r="CQ224" s="554"/>
      <c r="CR224" s="554"/>
      <c r="CS224" s="554"/>
      <c r="CT224" s="554"/>
      <c r="CU224" s="554"/>
      <c r="CV224" s="554"/>
      <c r="CW224" s="554"/>
      <c r="CX224" s="554"/>
      <c r="CY224" s="554"/>
      <c r="CZ224" s="554"/>
      <c r="DA224" s="554"/>
      <c r="DB224" s="554"/>
      <c r="DC224" s="554"/>
      <c r="DD224" s="554"/>
      <c r="DE224" s="534"/>
      <c r="DF224" s="534"/>
      <c r="DG224" s="534"/>
    </row>
    <row r="225" spans="1:111" ht="15" x14ac:dyDescent="0.25">
      <c r="A225" s="549">
        <f>IFERROR(IF(INDEX('Weather Cases'!$E$10:$E$94,MATCH('Load Criteria'!X225,'Weather Cases'!$H$10:$H$94,0),1)=1,1,"-"),"-")</f>
        <v>1</v>
      </c>
      <c r="B225" s="555" t="s">
        <v>558</v>
      </c>
      <c r="C225" s="555" t="s">
        <v>559</v>
      </c>
      <c r="D225" s="555" t="s">
        <v>579</v>
      </c>
      <c r="E225" s="555">
        <v>1</v>
      </c>
      <c r="F225" s="556" t="s">
        <v>22</v>
      </c>
      <c r="G225" s="556" t="str">
        <f>IFERROR(IF(MID('Load Criteria'!X225,FIND("_",'Load Criteria'!X225,1)+1,1)=LEFT(Control!$D$23,1),"YES","-"),"-")</f>
        <v>-</v>
      </c>
      <c r="H225" s="549" t="s">
        <v>22</v>
      </c>
      <c r="I225" s="557" t="s">
        <v>327</v>
      </c>
      <c r="J225" s="550">
        <f>Control!$D$25</f>
        <v>1</v>
      </c>
      <c r="K225" s="508" t="s">
        <v>571</v>
      </c>
      <c r="L225" s="508" t="s">
        <v>40</v>
      </c>
      <c r="M225" s="508">
        <v>1</v>
      </c>
      <c r="N225" s="508"/>
      <c r="O225" s="508"/>
      <c r="P225" s="395"/>
      <c r="Q225" s="395"/>
      <c r="R225" s="395"/>
      <c r="S225" s="395"/>
      <c r="T225" s="395"/>
      <c r="U225" s="255" t="s">
        <v>568</v>
      </c>
      <c r="V225" s="551"/>
      <c r="W225" s="542" t="str">
        <f t="shared" si="398"/>
        <v>RW0001_8+TB1 NA+</v>
      </c>
      <c r="X225" s="552" t="str">
        <f>I225&amp;TEXT(J225,"0000")&amp;"_"&amp;LEFT(Control!$D$22,LEN(Control!$D$22)-2)</f>
        <v>RW0001_8</v>
      </c>
      <c r="Y225" s="552" t="s">
        <v>433</v>
      </c>
      <c r="Z225" s="552" t="str">
        <f t="shared" ref="Z225:Z254" si="404">U225</f>
        <v>NA+</v>
      </c>
      <c r="AA225" s="552"/>
      <c r="AB225" s="552">
        <v>1</v>
      </c>
      <c r="AC225" s="552">
        <v>1</v>
      </c>
      <c r="AD225" s="552">
        <v>1</v>
      </c>
      <c r="AE225" s="552">
        <v>1</v>
      </c>
      <c r="AF225" s="552">
        <v>1</v>
      </c>
      <c r="AG225" s="542" t="s">
        <v>561</v>
      </c>
      <c r="AH225" s="552">
        <v>0</v>
      </c>
      <c r="AI225" s="552">
        <v>0</v>
      </c>
      <c r="AJ225" s="552">
        <v>1</v>
      </c>
      <c r="AK225" s="552">
        <v>1</v>
      </c>
      <c r="AL225" s="552">
        <v>1</v>
      </c>
      <c r="AM225" s="552">
        <v>0</v>
      </c>
      <c r="AN225" s="552">
        <v>0</v>
      </c>
      <c r="AO225" s="552">
        <v>1</v>
      </c>
      <c r="AP225" s="552">
        <v>1</v>
      </c>
      <c r="AQ225" s="552">
        <v>1</v>
      </c>
      <c r="AR225" s="552">
        <v>1</v>
      </c>
      <c r="AS225" s="552">
        <v>1</v>
      </c>
      <c r="AT225" s="552">
        <v>1</v>
      </c>
      <c r="AU225" s="552">
        <v>1</v>
      </c>
      <c r="AV225" s="592" t="s">
        <v>1132</v>
      </c>
      <c r="AW225" s="552" t="s">
        <v>562</v>
      </c>
      <c r="AX225" s="552"/>
      <c r="AY225" s="552" t="str">
        <f t="shared" si="401"/>
        <v>Yes</v>
      </c>
      <c r="AZ225" s="554" t="str">
        <f t="shared" ref="AZ225:AZ287" si="405">IF($M225="","",$M225&amp;":1:"&amp;IF($L225="A","Ahead","Back"))</f>
        <v>1:1:Back</v>
      </c>
      <c r="BA225" s="554" t="str">
        <f t="shared" ref="BA225:BA287" si="406">IF(AZ225="","","Broken Wire (# Broken Subconductors)")</f>
        <v>Broken Wire (# Broken Subconductors)</v>
      </c>
      <c r="BB225" s="552">
        <f t="shared" ref="BB225:BB254" si="407">IF(AZ225="","",4)</f>
        <v>4</v>
      </c>
      <c r="BC225" s="554" t="str">
        <f t="shared" ref="BC225:BC287" si="408">IF($M225="","",$M225+10&amp;":1:"&amp;IF($L225="A","Ahead","Back"))</f>
        <v>11:1:Back</v>
      </c>
      <c r="BD225" s="554" t="str">
        <f t="shared" ref="BD225:BD287" si="409">IF(BC225="","","Broken Wire (# Broken Subconductors)")</f>
        <v>Broken Wire (# Broken Subconductors)</v>
      </c>
      <c r="BE225" s="552">
        <f t="shared" ref="BE225:BE254" si="410">IF(BC225="","",4)</f>
        <v>4</v>
      </c>
      <c r="BF225" s="554" t="str">
        <f t="shared" si="403"/>
        <v/>
      </c>
      <c r="BG225" s="554" t="str">
        <f t="shared" ref="BG225:BG287" si="411">IF(BF225="","","Broken Wire (# Broken Subconductors)")</f>
        <v/>
      </c>
      <c r="BH225" s="552" t="str">
        <f t="shared" ref="BH225:BH254" si="412">IF(BF225="","",4)</f>
        <v/>
      </c>
      <c r="BI225" s="554" t="str">
        <f t="shared" ref="BI225:BI287" si="413">IF($N225="","",$N225+10&amp;":1:"&amp;IF($L225="A","Ahead","Back"))</f>
        <v/>
      </c>
      <c r="BJ225" s="554" t="str">
        <f t="shared" ref="BJ225:BJ287" si="414">IF(BI225="","","Broken Wire (# Broken Subconductors)")</f>
        <v/>
      </c>
      <c r="BK225" s="552" t="str">
        <f t="shared" ref="BK225:BK254" si="415">IF(BI225="","",4)</f>
        <v/>
      </c>
      <c r="BL225" s="554" t="str">
        <f t="shared" ref="BL225:BL287" si="416">IF($O225="","",$O225&amp;":1:"&amp;IF($L225="A","Ahead","Back"))</f>
        <v/>
      </c>
      <c r="BM225" s="554" t="str">
        <f t="shared" ref="BM225:BM287" si="417">IF(BL225="","","Broken Wire (# Broken Subconductors)")</f>
        <v/>
      </c>
      <c r="BN225" s="552" t="str">
        <f t="shared" ref="BN225:BN254" si="418">IF(BL225="","",4)</f>
        <v/>
      </c>
      <c r="BO225" s="554" t="str">
        <f t="shared" ref="BO225:BO287" si="419">IF($O225="","",$O225+10&amp;":1:"&amp;IF($L225="A","Ahead","Back"))</f>
        <v/>
      </c>
      <c r="BP225" s="554" t="str">
        <f t="shared" ref="BP225:BP287" si="420">IF(BO225="","","Broken Wire (# Broken Subconductors)")</f>
        <v/>
      </c>
      <c r="BQ225" s="552" t="str">
        <f t="shared" ref="BQ225:BQ254" si="421">IF(BO225="","",4)</f>
        <v/>
      </c>
      <c r="BR225" s="554"/>
      <c r="BS225" s="554"/>
      <c r="BT225" s="554"/>
      <c r="BU225" s="554"/>
      <c r="BV225" s="554"/>
      <c r="BW225" s="554"/>
      <c r="BX225" s="554"/>
      <c r="BY225" s="554"/>
      <c r="BZ225" s="554"/>
      <c r="CA225" s="554"/>
      <c r="CB225" s="554"/>
      <c r="CC225" s="554"/>
      <c r="CD225" s="554"/>
      <c r="CE225" s="554"/>
      <c r="CF225" s="554"/>
      <c r="CG225" s="554"/>
      <c r="CH225" s="554"/>
      <c r="CI225" s="554"/>
      <c r="CJ225" s="554"/>
      <c r="CK225" s="554"/>
      <c r="CL225" s="554"/>
      <c r="CM225" s="554"/>
      <c r="CN225" s="554"/>
      <c r="CO225" s="554"/>
      <c r="CP225" s="554"/>
      <c r="CQ225" s="554"/>
      <c r="CR225" s="554"/>
      <c r="CS225" s="554"/>
      <c r="CT225" s="554"/>
      <c r="CU225" s="554"/>
      <c r="CV225" s="554"/>
      <c r="CW225" s="554"/>
      <c r="CX225" s="554"/>
      <c r="CY225" s="554"/>
      <c r="CZ225" s="554"/>
      <c r="DA225" s="554"/>
      <c r="DB225" s="554"/>
      <c r="DC225" s="554"/>
      <c r="DD225" s="554"/>
      <c r="DE225" s="534"/>
      <c r="DF225" s="534"/>
      <c r="DG225" s="534"/>
    </row>
    <row r="226" spans="1:111" ht="15" x14ac:dyDescent="0.25">
      <c r="A226" s="549">
        <f>IFERROR(IF(INDEX('Weather Cases'!$E$10:$E$94,MATCH('Load Criteria'!X226,'Weather Cases'!$H$10:$H$94,0),1)=1,1,"-"),"-")</f>
        <v>1</v>
      </c>
      <c r="B226" s="555" t="s">
        <v>558</v>
      </c>
      <c r="C226" s="555" t="s">
        <v>559</v>
      </c>
      <c r="D226" s="555" t="s">
        <v>579</v>
      </c>
      <c r="E226" s="555">
        <v>1</v>
      </c>
      <c r="F226" s="556" t="s">
        <v>22</v>
      </c>
      <c r="G226" s="556" t="str">
        <f>IFERROR(IF(MID('Load Criteria'!X226,FIND("_",'Load Criteria'!X226,1)+1,1)=LEFT(Control!$D$23,1),"YES","-"),"-")</f>
        <v>-</v>
      </c>
      <c r="H226" s="549" t="s">
        <v>22</v>
      </c>
      <c r="I226" s="557" t="s">
        <v>327</v>
      </c>
      <c r="J226" s="550">
        <f>Control!$D$25</f>
        <v>1</v>
      </c>
      <c r="K226" s="508" t="s">
        <v>571</v>
      </c>
      <c r="L226" s="508" t="s">
        <v>24</v>
      </c>
      <c r="M226" s="508">
        <v>2</v>
      </c>
      <c r="N226" s="508"/>
      <c r="O226" s="508"/>
      <c r="P226" s="395"/>
      <c r="Q226" s="395"/>
      <c r="R226" s="395"/>
      <c r="S226" s="395"/>
      <c r="T226" s="395"/>
      <c r="U226" s="255" t="s">
        <v>568</v>
      </c>
      <c r="V226" s="551"/>
      <c r="W226" s="542" t="str">
        <f t="shared" si="398"/>
        <v>RW0001_8+TA2 NA+</v>
      </c>
      <c r="X226" s="552" t="str">
        <f>I226&amp;TEXT(J226,"0000")&amp;"_"&amp;LEFT(Control!$D$22,LEN(Control!$D$22)-2)</f>
        <v>RW0001_8</v>
      </c>
      <c r="Y226" s="552" t="s">
        <v>433</v>
      </c>
      <c r="Z226" s="552" t="str">
        <f t="shared" si="404"/>
        <v>NA+</v>
      </c>
      <c r="AA226" s="552"/>
      <c r="AB226" s="552">
        <v>1</v>
      </c>
      <c r="AC226" s="552">
        <v>1</v>
      </c>
      <c r="AD226" s="552">
        <v>1</v>
      </c>
      <c r="AE226" s="552">
        <v>1</v>
      </c>
      <c r="AF226" s="552">
        <v>1</v>
      </c>
      <c r="AG226" s="542" t="s">
        <v>561</v>
      </c>
      <c r="AH226" s="552">
        <v>0</v>
      </c>
      <c r="AI226" s="552">
        <v>0</v>
      </c>
      <c r="AJ226" s="552">
        <v>1</v>
      </c>
      <c r="AK226" s="552">
        <v>1</v>
      </c>
      <c r="AL226" s="552">
        <v>1</v>
      </c>
      <c r="AM226" s="552">
        <v>0</v>
      </c>
      <c r="AN226" s="552">
        <v>0</v>
      </c>
      <c r="AO226" s="552">
        <v>1</v>
      </c>
      <c r="AP226" s="552">
        <v>1</v>
      </c>
      <c r="AQ226" s="552">
        <v>1</v>
      </c>
      <c r="AR226" s="552">
        <v>1</v>
      </c>
      <c r="AS226" s="552">
        <v>1</v>
      </c>
      <c r="AT226" s="552">
        <v>1</v>
      </c>
      <c r="AU226" s="552">
        <v>1</v>
      </c>
      <c r="AV226" s="592" t="s">
        <v>1132</v>
      </c>
      <c r="AW226" s="552" t="s">
        <v>562</v>
      </c>
      <c r="AX226" s="552"/>
      <c r="AY226" s="552" t="str">
        <f t="shared" si="401"/>
        <v>Yes</v>
      </c>
      <c r="AZ226" s="554" t="str">
        <f t="shared" si="405"/>
        <v>2:1:Ahead</v>
      </c>
      <c r="BA226" s="554" t="str">
        <f t="shared" si="406"/>
        <v>Broken Wire (# Broken Subconductors)</v>
      </c>
      <c r="BB226" s="552">
        <f t="shared" si="407"/>
        <v>4</v>
      </c>
      <c r="BC226" s="554" t="str">
        <f t="shared" si="408"/>
        <v>12:1:Ahead</v>
      </c>
      <c r="BD226" s="554" t="str">
        <f t="shared" si="409"/>
        <v>Broken Wire (# Broken Subconductors)</v>
      </c>
      <c r="BE226" s="552">
        <f t="shared" si="410"/>
        <v>4</v>
      </c>
      <c r="BF226" s="554" t="str">
        <f t="shared" si="403"/>
        <v/>
      </c>
      <c r="BG226" s="554" t="str">
        <f t="shared" si="411"/>
        <v/>
      </c>
      <c r="BH226" s="552" t="str">
        <f t="shared" si="412"/>
        <v/>
      </c>
      <c r="BI226" s="554" t="str">
        <f t="shared" si="413"/>
        <v/>
      </c>
      <c r="BJ226" s="554" t="str">
        <f t="shared" si="414"/>
        <v/>
      </c>
      <c r="BK226" s="552" t="str">
        <f t="shared" si="415"/>
        <v/>
      </c>
      <c r="BL226" s="554" t="str">
        <f t="shared" si="416"/>
        <v/>
      </c>
      <c r="BM226" s="554" t="str">
        <f t="shared" si="417"/>
        <v/>
      </c>
      <c r="BN226" s="552" t="str">
        <f t="shared" si="418"/>
        <v/>
      </c>
      <c r="BO226" s="554" t="str">
        <f t="shared" si="419"/>
        <v/>
      </c>
      <c r="BP226" s="554" t="str">
        <f t="shared" si="420"/>
        <v/>
      </c>
      <c r="BQ226" s="552" t="str">
        <f t="shared" si="421"/>
        <v/>
      </c>
      <c r="BR226" s="554"/>
      <c r="BS226" s="554"/>
      <c r="BT226" s="554"/>
      <c r="BU226" s="554"/>
      <c r="BV226" s="554"/>
      <c r="BW226" s="554"/>
      <c r="BX226" s="554"/>
      <c r="BY226" s="554"/>
      <c r="BZ226" s="554"/>
      <c r="CA226" s="554"/>
      <c r="CB226" s="554"/>
      <c r="CC226" s="554"/>
      <c r="CD226" s="554"/>
      <c r="CE226" s="554"/>
      <c r="CF226" s="554"/>
      <c r="CG226" s="554"/>
      <c r="CH226" s="554"/>
      <c r="CI226" s="554"/>
      <c r="CJ226" s="554"/>
      <c r="CK226" s="554"/>
      <c r="CL226" s="554"/>
      <c r="CM226" s="554"/>
      <c r="CN226" s="554"/>
      <c r="CO226" s="554"/>
      <c r="CP226" s="554"/>
      <c r="CQ226" s="554"/>
      <c r="CR226" s="554"/>
      <c r="CS226" s="554"/>
      <c r="CT226" s="554"/>
      <c r="CU226" s="554"/>
      <c r="CV226" s="554"/>
      <c r="CW226" s="554"/>
      <c r="CX226" s="554"/>
      <c r="CY226" s="554"/>
      <c r="CZ226" s="554"/>
      <c r="DA226" s="554"/>
      <c r="DB226" s="554"/>
      <c r="DC226" s="554"/>
      <c r="DD226" s="554"/>
      <c r="DE226" s="534"/>
      <c r="DF226" s="534"/>
      <c r="DG226" s="534"/>
    </row>
    <row r="227" spans="1:111" ht="15" x14ac:dyDescent="0.25">
      <c r="A227" s="549">
        <f>IFERROR(IF(INDEX('Weather Cases'!$E$10:$E$94,MATCH('Load Criteria'!X227,'Weather Cases'!$H$10:$H$94,0),1)=1,1,"-"),"-")</f>
        <v>1</v>
      </c>
      <c r="B227" s="555" t="s">
        <v>558</v>
      </c>
      <c r="C227" s="555" t="s">
        <v>559</v>
      </c>
      <c r="D227" s="555" t="s">
        <v>579</v>
      </c>
      <c r="E227" s="555">
        <v>1</v>
      </c>
      <c r="F227" s="556" t="s">
        <v>22</v>
      </c>
      <c r="G227" s="556" t="str">
        <f>IFERROR(IF(MID('Load Criteria'!X227,FIND("_",'Load Criteria'!X227,1)+1,1)=LEFT(Control!$D$23,1),"YES","-"),"-")</f>
        <v>-</v>
      </c>
      <c r="H227" s="549" t="s">
        <v>22</v>
      </c>
      <c r="I227" s="557" t="s">
        <v>327</v>
      </c>
      <c r="J227" s="550">
        <f>Control!$D$25</f>
        <v>1</v>
      </c>
      <c r="K227" s="508" t="s">
        <v>571</v>
      </c>
      <c r="L227" s="508" t="s">
        <v>40</v>
      </c>
      <c r="M227" s="508">
        <v>2</v>
      </c>
      <c r="N227" s="508"/>
      <c r="O227" s="508"/>
      <c r="P227" s="395"/>
      <c r="Q227" s="395"/>
      <c r="R227" s="395"/>
      <c r="S227" s="395"/>
      <c r="T227" s="395"/>
      <c r="U227" s="255" t="s">
        <v>568</v>
      </c>
      <c r="V227" s="551"/>
      <c r="W227" s="542" t="str">
        <f t="shared" si="398"/>
        <v>RW0001_8+TB2 NA+</v>
      </c>
      <c r="X227" s="552" t="str">
        <f>I227&amp;TEXT(J227,"0000")&amp;"_"&amp;LEFT(Control!$D$22,LEN(Control!$D$22)-2)</f>
        <v>RW0001_8</v>
      </c>
      <c r="Y227" s="552" t="s">
        <v>433</v>
      </c>
      <c r="Z227" s="552" t="str">
        <f t="shared" si="404"/>
        <v>NA+</v>
      </c>
      <c r="AA227" s="552"/>
      <c r="AB227" s="552">
        <v>1</v>
      </c>
      <c r="AC227" s="552">
        <v>1</v>
      </c>
      <c r="AD227" s="552">
        <v>1</v>
      </c>
      <c r="AE227" s="552">
        <v>1</v>
      </c>
      <c r="AF227" s="552">
        <v>1</v>
      </c>
      <c r="AG227" s="542" t="s">
        <v>561</v>
      </c>
      <c r="AH227" s="552">
        <v>0</v>
      </c>
      <c r="AI227" s="552">
        <v>0</v>
      </c>
      <c r="AJ227" s="552">
        <v>1</v>
      </c>
      <c r="AK227" s="552">
        <v>1</v>
      </c>
      <c r="AL227" s="552">
        <v>1</v>
      </c>
      <c r="AM227" s="552">
        <v>0</v>
      </c>
      <c r="AN227" s="552">
        <v>0</v>
      </c>
      <c r="AO227" s="552">
        <v>1</v>
      </c>
      <c r="AP227" s="552">
        <v>1</v>
      </c>
      <c r="AQ227" s="552">
        <v>1</v>
      </c>
      <c r="AR227" s="552">
        <v>1</v>
      </c>
      <c r="AS227" s="552">
        <v>1</v>
      </c>
      <c r="AT227" s="552">
        <v>1</v>
      </c>
      <c r="AU227" s="552">
        <v>1</v>
      </c>
      <c r="AV227" s="592" t="s">
        <v>1132</v>
      </c>
      <c r="AW227" s="552" t="s">
        <v>562</v>
      </c>
      <c r="AX227" s="552"/>
      <c r="AY227" s="552" t="str">
        <f t="shared" si="401"/>
        <v>Yes</v>
      </c>
      <c r="AZ227" s="554" t="str">
        <f t="shared" si="405"/>
        <v>2:1:Back</v>
      </c>
      <c r="BA227" s="554" t="str">
        <f t="shared" si="406"/>
        <v>Broken Wire (# Broken Subconductors)</v>
      </c>
      <c r="BB227" s="552">
        <f t="shared" si="407"/>
        <v>4</v>
      </c>
      <c r="BC227" s="554" t="str">
        <f t="shared" si="408"/>
        <v>12:1:Back</v>
      </c>
      <c r="BD227" s="554" t="str">
        <f t="shared" si="409"/>
        <v>Broken Wire (# Broken Subconductors)</v>
      </c>
      <c r="BE227" s="552">
        <f t="shared" si="410"/>
        <v>4</v>
      </c>
      <c r="BF227" s="554" t="str">
        <f t="shared" si="403"/>
        <v/>
      </c>
      <c r="BG227" s="554" t="str">
        <f t="shared" si="411"/>
        <v/>
      </c>
      <c r="BH227" s="552" t="str">
        <f t="shared" si="412"/>
        <v/>
      </c>
      <c r="BI227" s="554" t="str">
        <f t="shared" si="413"/>
        <v/>
      </c>
      <c r="BJ227" s="554" t="str">
        <f t="shared" si="414"/>
        <v/>
      </c>
      <c r="BK227" s="552" t="str">
        <f t="shared" si="415"/>
        <v/>
      </c>
      <c r="BL227" s="554" t="str">
        <f t="shared" si="416"/>
        <v/>
      </c>
      <c r="BM227" s="554" t="str">
        <f t="shared" si="417"/>
        <v/>
      </c>
      <c r="BN227" s="552" t="str">
        <f t="shared" si="418"/>
        <v/>
      </c>
      <c r="BO227" s="554" t="str">
        <f t="shared" si="419"/>
        <v/>
      </c>
      <c r="BP227" s="554" t="str">
        <f t="shared" si="420"/>
        <v/>
      </c>
      <c r="BQ227" s="552" t="str">
        <f t="shared" si="421"/>
        <v/>
      </c>
      <c r="BR227" s="554"/>
      <c r="BS227" s="554"/>
      <c r="BT227" s="554"/>
      <c r="BU227" s="554"/>
      <c r="BV227" s="554"/>
      <c r="BW227" s="554"/>
      <c r="BX227" s="554"/>
      <c r="BY227" s="554"/>
      <c r="BZ227" s="554"/>
      <c r="CA227" s="554"/>
      <c r="CB227" s="554"/>
      <c r="CC227" s="554"/>
      <c r="CD227" s="554"/>
      <c r="CE227" s="554"/>
      <c r="CF227" s="554"/>
      <c r="CG227" s="554"/>
      <c r="CH227" s="554"/>
      <c r="CI227" s="554"/>
      <c r="CJ227" s="554"/>
      <c r="CK227" s="554"/>
      <c r="CL227" s="554"/>
      <c r="CM227" s="554"/>
      <c r="CN227" s="554"/>
      <c r="CO227" s="554"/>
      <c r="CP227" s="554"/>
      <c r="CQ227" s="554"/>
      <c r="CR227" s="554"/>
      <c r="CS227" s="554"/>
      <c r="CT227" s="554"/>
      <c r="CU227" s="554"/>
      <c r="CV227" s="554"/>
      <c r="CW227" s="554"/>
      <c r="CX227" s="554"/>
      <c r="CY227" s="554"/>
      <c r="CZ227" s="554"/>
      <c r="DA227" s="554"/>
      <c r="DB227" s="554"/>
      <c r="DC227" s="554"/>
      <c r="DD227" s="554"/>
      <c r="DE227" s="534"/>
      <c r="DF227" s="534"/>
      <c r="DG227" s="534"/>
    </row>
    <row r="228" spans="1:111" ht="15" x14ac:dyDescent="0.25">
      <c r="A228" s="549">
        <f>IFERROR(IF(INDEX('Weather Cases'!$E$10:$E$94,MATCH('Load Criteria'!X228,'Weather Cases'!$H$10:$H$94,0),1)=1,1,"-"),"-")</f>
        <v>1</v>
      </c>
      <c r="B228" s="555" t="s">
        <v>558</v>
      </c>
      <c r="C228" s="555" t="s">
        <v>559</v>
      </c>
      <c r="D228" s="555" t="s">
        <v>579</v>
      </c>
      <c r="E228" s="555">
        <v>1</v>
      </c>
      <c r="F228" s="556" t="s">
        <v>22</v>
      </c>
      <c r="G228" s="556" t="str">
        <f>IFERROR(IF(MID('Load Criteria'!X228,FIND("_",'Load Criteria'!X228,1)+1,1)=LEFT(Control!$D$23,1),"YES","-"),"-")</f>
        <v>-</v>
      </c>
      <c r="H228" s="549" t="s">
        <v>22</v>
      </c>
      <c r="I228" s="557" t="s">
        <v>327</v>
      </c>
      <c r="J228" s="550">
        <f>Control!$D$25</f>
        <v>1</v>
      </c>
      <c r="K228" s="508" t="s">
        <v>571</v>
      </c>
      <c r="L228" s="508" t="s">
        <v>24</v>
      </c>
      <c r="M228" s="508">
        <v>3</v>
      </c>
      <c r="N228" s="508"/>
      <c r="O228" s="508"/>
      <c r="P228" s="395"/>
      <c r="Q228" s="395"/>
      <c r="R228" s="395"/>
      <c r="S228" s="395"/>
      <c r="T228" s="395"/>
      <c r="U228" s="255" t="s">
        <v>568</v>
      </c>
      <c r="V228" s="551"/>
      <c r="W228" s="542" t="str">
        <f t="shared" si="398"/>
        <v>RW0001_8+TA3 NA+</v>
      </c>
      <c r="X228" s="552" t="str">
        <f>I228&amp;TEXT(J228,"0000")&amp;"_"&amp;LEFT(Control!$D$22,LEN(Control!$D$22)-2)</f>
        <v>RW0001_8</v>
      </c>
      <c r="Y228" s="552" t="s">
        <v>433</v>
      </c>
      <c r="Z228" s="552" t="str">
        <f t="shared" si="404"/>
        <v>NA+</v>
      </c>
      <c r="AA228" s="552"/>
      <c r="AB228" s="552">
        <v>1</v>
      </c>
      <c r="AC228" s="552">
        <v>1</v>
      </c>
      <c r="AD228" s="552">
        <v>1</v>
      </c>
      <c r="AE228" s="552">
        <v>1</v>
      </c>
      <c r="AF228" s="552">
        <v>1</v>
      </c>
      <c r="AG228" s="542" t="s">
        <v>561</v>
      </c>
      <c r="AH228" s="552">
        <v>0</v>
      </c>
      <c r="AI228" s="552">
        <v>0</v>
      </c>
      <c r="AJ228" s="552">
        <v>1</v>
      </c>
      <c r="AK228" s="552">
        <v>1</v>
      </c>
      <c r="AL228" s="552">
        <v>1</v>
      </c>
      <c r="AM228" s="552">
        <v>0</v>
      </c>
      <c r="AN228" s="552">
        <v>0</v>
      </c>
      <c r="AO228" s="552">
        <v>1</v>
      </c>
      <c r="AP228" s="552">
        <v>1</v>
      </c>
      <c r="AQ228" s="552">
        <v>1</v>
      </c>
      <c r="AR228" s="552">
        <v>1</v>
      </c>
      <c r="AS228" s="552">
        <v>1</v>
      </c>
      <c r="AT228" s="552">
        <v>1</v>
      </c>
      <c r="AU228" s="552">
        <v>1</v>
      </c>
      <c r="AV228" s="592" t="s">
        <v>1132</v>
      </c>
      <c r="AW228" s="552" t="s">
        <v>562</v>
      </c>
      <c r="AX228" s="552"/>
      <c r="AY228" s="552" t="str">
        <f t="shared" si="401"/>
        <v>Yes</v>
      </c>
      <c r="AZ228" s="554" t="str">
        <f t="shared" si="405"/>
        <v>3:1:Ahead</v>
      </c>
      <c r="BA228" s="554" t="str">
        <f t="shared" si="406"/>
        <v>Broken Wire (# Broken Subconductors)</v>
      </c>
      <c r="BB228" s="552">
        <f t="shared" si="407"/>
        <v>4</v>
      </c>
      <c r="BC228" s="554" t="str">
        <f t="shared" si="408"/>
        <v>13:1:Ahead</v>
      </c>
      <c r="BD228" s="554" t="str">
        <f t="shared" si="409"/>
        <v>Broken Wire (# Broken Subconductors)</v>
      </c>
      <c r="BE228" s="552">
        <f t="shared" si="410"/>
        <v>4</v>
      </c>
      <c r="BF228" s="554" t="str">
        <f t="shared" si="403"/>
        <v/>
      </c>
      <c r="BG228" s="554" t="str">
        <f t="shared" si="411"/>
        <v/>
      </c>
      <c r="BH228" s="552" t="str">
        <f t="shared" si="412"/>
        <v/>
      </c>
      <c r="BI228" s="554" t="str">
        <f t="shared" si="413"/>
        <v/>
      </c>
      <c r="BJ228" s="554" t="str">
        <f t="shared" si="414"/>
        <v/>
      </c>
      <c r="BK228" s="552" t="str">
        <f t="shared" si="415"/>
        <v/>
      </c>
      <c r="BL228" s="554" t="str">
        <f t="shared" si="416"/>
        <v/>
      </c>
      <c r="BM228" s="554" t="str">
        <f t="shared" si="417"/>
        <v/>
      </c>
      <c r="BN228" s="552" t="str">
        <f t="shared" si="418"/>
        <v/>
      </c>
      <c r="BO228" s="554" t="str">
        <f t="shared" si="419"/>
        <v/>
      </c>
      <c r="BP228" s="554" t="str">
        <f t="shared" si="420"/>
        <v/>
      </c>
      <c r="BQ228" s="552" t="str">
        <f t="shared" si="421"/>
        <v/>
      </c>
      <c r="BR228" s="554"/>
      <c r="BS228" s="554"/>
      <c r="BT228" s="554"/>
      <c r="BU228" s="554"/>
      <c r="BV228" s="554"/>
      <c r="BW228" s="554"/>
      <c r="BX228" s="554"/>
      <c r="BY228" s="554"/>
      <c r="BZ228" s="554"/>
      <c r="CA228" s="554"/>
      <c r="CB228" s="554"/>
      <c r="CC228" s="554"/>
      <c r="CD228" s="554"/>
      <c r="CE228" s="554"/>
      <c r="CF228" s="554"/>
      <c r="CG228" s="554"/>
      <c r="CH228" s="554"/>
      <c r="CI228" s="554"/>
      <c r="CJ228" s="554"/>
      <c r="CK228" s="554"/>
      <c r="CL228" s="554"/>
      <c r="CM228" s="554"/>
      <c r="CN228" s="554"/>
      <c r="CO228" s="554"/>
      <c r="CP228" s="554"/>
      <c r="CQ228" s="554"/>
      <c r="CR228" s="554"/>
      <c r="CS228" s="554"/>
      <c r="CT228" s="554"/>
      <c r="CU228" s="554"/>
      <c r="CV228" s="554"/>
      <c r="CW228" s="554"/>
      <c r="CX228" s="554"/>
      <c r="CY228" s="554"/>
      <c r="CZ228" s="554"/>
      <c r="DA228" s="554"/>
      <c r="DB228" s="554"/>
      <c r="DC228" s="554"/>
      <c r="DD228" s="554"/>
      <c r="DE228" s="534"/>
      <c r="DF228" s="534"/>
      <c r="DG228" s="534"/>
    </row>
    <row r="229" spans="1:111" ht="15" x14ac:dyDescent="0.25">
      <c r="A229" s="549">
        <f>IFERROR(IF(INDEX('Weather Cases'!$E$10:$E$94,MATCH('Load Criteria'!X229,'Weather Cases'!$H$10:$H$94,0),1)=1,1,"-"),"-")</f>
        <v>1</v>
      </c>
      <c r="B229" s="555" t="s">
        <v>558</v>
      </c>
      <c r="C229" s="555" t="s">
        <v>559</v>
      </c>
      <c r="D229" s="555" t="s">
        <v>579</v>
      </c>
      <c r="E229" s="555">
        <v>1</v>
      </c>
      <c r="F229" s="556" t="s">
        <v>22</v>
      </c>
      <c r="G229" s="556" t="str">
        <f>IFERROR(IF(MID('Load Criteria'!X229,FIND("_",'Load Criteria'!X229,1)+1,1)=LEFT(Control!$D$23,1),"YES","-"),"-")</f>
        <v>-</v>
      </c>
      <c r="H229" s="549" t="s">
        <v>22</v>
      </c>
      <c r="I229" s="557" t="s">
        <v>327</v>
      </c>
      <c r="J229" s="550">
        <f>Control!$D$25</f>
        <v>1</v>
      </c>
      <c r="K229" s="508" t="s">
        <v>571</v>
      </c>
      <c r="L229" s="508" t="s">
        <v>40</v>
      </c>
      <c r="M229" s="508">
        <v>3</v>
      </c>
      <c r="N229" s="508"/>
      <c r="O229" s="508"/>
      <c r="P229" s="395"/>
      <c r="Q229" s="395"/>
      <c r="R229" s="395"/>
      <c r="S229" s="395"/>
      <c r="T229" s="395"/>
      <c r="U229" s="255" t="s">
        <v>568</v>
      </c>
      <c r="V229" s="551"/>
      <c r="W229" s="542" t="str">
        <f t="shared" si="398"/>
        <v>RW0001_8+TB3 NA+</v>
      </c>
      <c r="X229" s="552" t="str">
        <f>I229&amp;TEXT(J229,"0000")&amp;"_"&amp;LEFT(Control!$D$22,LEN(Control!$D$22)-2)</f>
        <v>RW0001_8</v>
      </c>
      <c r="Y229" s="552" t="s">
        <v>433</v>
      </c>
      <c r="Z229" s="552" t="str">
        <f t="shared" si="404"/>
        <v>NA+</v>
      </c>
      <c r="AA229" s="552"/>
      <c r="AB229" s="552">
        <v>1</v>
      </c>
      <c r="AC229" s="552">
        <v>1</v>
      </c>
      <c r="AD229" s="552">
        <v>1</v>
      </c>
      <c r="AE229" s="552">
        <v>1</v>
      </c>
      <c r="AF229" s="552">
        <v>1</v>
      </c>
      <c r="AG229" s="542" t="s">
        <v>561</v>
      </c>
      <c r="AH229" s="552">
        <v>0</v>
      </c>
      <c r="AI229" s="552">
        <v>0</v>
      </c>
      <c r="AJ229" s="552">
        <v>1</v>
      </c>
      <c r="AK229" s="552">
        <v>1</v>
      </c>
      <c r="AL229" s="552">
        <v>1</v>
      </c>
      <c r="AM229" s="552">
        <v>0</v>
      </c>
      <c r="AN229" s="552">
        <v>0</v>
      </c>
      <c r="AO229" s="552">
        <v>1</v>
      </c>
      <c r="AP229" s="552">
        <v>1</v>
      </c>
      <c r="AQ229" s="552">
        <v>1</v>
      </c>
      <c r="AR229" s="552">
        <v>1</v>
      </c>
      <c r="AS229" s="552">
        <v>1</v>
      </c>
      <c r="AT229" s="552">
        <v>1</v>
      </c>
      <c r="AU229" s="552">
        <v>1</v>
      </c>
      <c r="AV229" s="592" t="s">
        <v>1132</v>
      </c>
      <c r="AW229" s="552" t="s">
        <v>562</v>
      </c>
      <c r="AX229" s="552"/>
      <c r="AY229" s="552" t="str">
        <f t="shared" si="401"/>
        <v>Yes</v>
      </c>
      <c r="AZ229" s="554" t="str">
        <f t="shared" si="405"/>
        <v>3:1:Back</v>
      </c>
      <c r="BA229" s="554" t="str">
        <f t="shared" si="406"/>
        <v>Broken Wire (# Broken Subconductors)</v>
      </c>
      <c r="BB229" s="552">
        <f t="shared" si="407"/>
        <v>4</v>
      </c>
      <c r="BC229" s="554" t="str">
        <f t="shared" si="408"/>
        <v>13:1:Back</v>
      </c>
      <c r="BD229" s="554" t="str">
        <f t="shared" si="409"/>
        <v>Broken Wire (# Broken Subconductors)</v>
      </c>
      <c r="BE229" s="552">
        <f t="shared" si="410"/>
        <v>4</v>
      </c>
      <c r="BF229" s="554" t="str">
        <f t="shared" si="403"/>
        <v/>
      </c>
      <c r="BG229" s="554" t="str">
        <f t="shared" si="411"/>
        <v/>
      </c>
      <c r="BH229" s="552" t="str">
        <f t="shared" si="412"/>
        <v/>
      </c>
      <c r="BI229" s="554" t="str">
        <f t="shared" si="413"/>
        <v/>
      </c>
      <c r="BJ229" s="554" t="str">
        <f t="shared" si="414"/>
        <v/>
      </c>
      <c r="BK229" s="552" t="str">
        <f t="shared" si="415"/>
        <v/>
      </c>
      <c r="BL229" s="554" t="str">
        <f t="shared" si="416"/>
        <v/>
      </c>
      <c r="BM229" s="554" t="str">
        <f t="shared" si="417"/>
        <v/>
      </c>
      <c r="BN229" s="552" t="str">
        <f t="shared" si="418"/>
        <v/>
      </c>
      <c r="BO229" s="554" t="str">
        <f t="shared" si="419"/>
        <v/>
      </c>
      <c r="BP229" s="554" t="str">
        <f t="shared" si="420"/>
        <v/>
      </c>
      <c r="BQ229" s="552" t="str">
        <f t="shared" si="421"/>
        <v/>
      </c>
      <c r="BR229" s="554"/>
      <c r="BS229" s="554"/>
      <c r="BT229" s="554"/>
      <c r="BU229" s="554"/>
      <c r="BV229" s="554"/>
      <c r="BW229" s="554"/>
      <c r="BX229" s="554"/>
      <c r="BY229" s="554"/>
      <c r="BZ229" s="554"/>
      <c r="CA229" s="554"/>
      <c r="CB229" s="554"/>
      <c r="CC229" s="554"/>
      <c r="CD229" s="554"/>
      <c r="CE229" s="554"/>
      <c r="CF229" s="554"/>
      <c r="CG229" s="554"/>
      <c r="CH229" s="554"/>
      <c r="CI229" s="554"/>
      <c r="CJ229" s="554"/>
      <c r="CK229" s="554"/>
      <c r="CL229" s="554"/>
      <c r="CM229" s="554"/>
      <c r="CN229" s="554"/>
      <c r="CO229" s="554"/>
      <c r="CP229" s="554"/>
      <c r="CQ229" s="554"/>
      <c r="CR229" s="554"/>
      <c r="CS229" s="554"/>
      <c r="CT229" s="554"/>
      <c r="CU229" s="554"/>
      <c r="CV229" s="554"/>
      <c r="CW229" s="554"/>
      <c r="CX229" s="554"/>
      <c r="CY229" s="554"/>
      <c r="CZ229" s="554"/>
      <c r="DA229" s="554"/>
      <c r="DB229" s="554"/>
      <c r="DC229" s="554"/>
      <c r="DD229" s="554"/>
      <c r="DE229" s="534"/>
      <c r="DF229" s="534"/>
      <c r="DG229" s="534"/>
    </row>
    <row r="230" spans="1:111" ht="15" x14ac:dyDescent="0.25">
      <c r="A230" s="549">
        <f>IFERROR(IF(INDEX('Weather Cases'!$E$10:$E$94,MATCH('Load Criteria'!X230,'Weather Cases'!$H$10:$H$94,0),1)=1,1,"-"),"-")</f>
        <v>1</v>
      </c>
      <c r="B230" s="555" t="s">
        <v>558</v>
      </c>
      <c r="C230" s="555" t="s">
        <v>559</v>
      </c>
      <c r="D230" s="555" t="s">
        <v>579</v>
      </c>
      <c r="E230" s="555">
        <v>1</v>
      </c>
      <c r="F230" s="556" t="s">
        <v>22</v>
      </c>
      <c r="G230" s="556" t="str">
        <f>IFERROR(IF(MID('Load Criteria'!X230,FIND("_",'Load Criteria'!X230,1)+1,1)=LEFT(Control!$D$23,1),"YES","-"),"-")</f>
        <v>-</v>
      </c>
      <c r="H230" s="549" t="s">
        <v>22</v>
      </c>
      <c r="I230" s="557" t="s">
        <v>327</v>
      </c>
      <c r="J230" s="550">
        <f>Control!$D$25</f>
        <v>1</v>
      </c>
      <c r="K230" s="508" t="s">
        <v>571</v>
      </c>
      <c r="L230" s="508" t="s">
        <v>24</v>
      </c>
      <c r="M230" s="594">
        <v>4</v>
      </c>
      <c r="N230" s="508"/>
      <c r="O230" s="508"/>
      <c r="P230" s="395"/>
      <c r="Q230" s="395"/>
      <c r="R230" s="395"/>
      <c r="S230" s="395"/>
      <c r="T230" s="395"/>
      <c r="U230" s="255" t="s">
        <v>568</v>
      </c>
      <c r="V230" s="551" t="s">
        <v>300</v>
      </c>
      <c r="W230" s="542" t="str">
        <f t="shared" ref="W230:W235" si="422">X230&amp;"+"&amp;K230&amp;IF(L230="","",CONCATENATE(L230,M230,N230,O230))&amp;" "&amp;U230</f>
        <v>RW0001_8+TA4 NA+</v>
      </c>
      <c r="X230" s="552" t="str">
        <f>I230&amp;TEXT(J230,"0000")&amp;"_"&amp;LEFT(Control!$D$22,LEN(Control!$D$22)-2)</f>
        <v>RW0001_8</v>
      </c>
      <c r="Y230" s="552" t="s">
        <v>433</v>
      </c>
      <c r="Z230" s="552" t="str">
        <f>U230</f>
        <v>NA+</v>
      </c>
      <c r="AA230" s="552"/>
      <c r="AB230" s="552">
        <v>1</v>
      </c>
      <c r="AC230" s="552">
        <v>1</v>
      </c>
      <c r="AD230" s="552">
        <v>1</v>
      </c>
      <c r="AE230" s="552">
        <v>1</v>
      </c>
      <c r="AF230" s="552">
        <v>1</v>
      </c>
      <c r="AG230" s="542" t="s">
        <v>561</v>
      </c>
      <c r="AH230" s="552">
        <v>0</v>
      </c>
      <c r="AI230" s="552">
        <v>0</v>
      </c>
      <c r="AJ230" s="552">
        <v>1</v>
      </c>
      <c r="AK230" s="552">
        <v>1</v>
      </c>
      <c r="AL230" s="552">
        <v>1</v>
      </c>
      <c r="AM230" s="552">
        <v>0</v>
      </c>
      <c r="AN230" s="552">
        <v>0</v>
      </c>
      <c r="AO230" s="552">
        <v>1</v>
      </c>
      <c r="AP230" s="552">
        <v>1</v>
      </c>
      <c r="AQ230" s="552">
        <v>1</v>
      </c>
      <c r="AR230" s="552">
        <v>1</v>
      </c>
      <c r="AS230" s="552">
        <v>1</v>
      </c>
      <c r="AT230" s="552">
        <v>1</v>
      </c>
      <c r="AU230" s="552">
        <v>1</v>
      </c>
      <c r="AV230" s="592" t="s">
        <v>1132</v>
      </c>
      <c r="AW230" s="552" t="s">
        <v>562</v>
      </c>
      <c r="AX230" s="552"/>
      <c r="AY230" s="552" t="str">
        <f t="shared" ref="AY230:AY235" si="423">IF(L230="","No","Yes")</f>
        <v>Yes</v>
      </c>
      <c r="AZ230" s="554" t="str">
        <f>IF($M230="","",$M230&amp;":1:"&amp;IF($L230="A","Ahead","Back"))</f>
        <v>4:1:Ahead</v>
      </c>
      <c r="BA230" s="554" t="str">
        <f>IF(AZ230="","","Broken Wire (# Broken Subconductors)")</f>
        <v>Broken Wire (# Broken Subconductors)</v>
      </c>
      <c r="BB230" s="552">
        <f>IF(AZ230="","",4)</f>
        <v>4</v>
      </c>
      <c r="BC230" s="554" t="str">
        <f>IF($M230="","",$M230+10&amp;":1:"&amp;IF($L230="A","Ahead","Back"))</f>
        <v>14:1:Ahead</v>
      </c>
      <c r="BD230" s="554" t="str">
        <f>IF(BC230="","","Broken Wire (# Broken Subconductors)")</f>
        <v>Broken Wire (# Broken Subconductors)</v>
      </c>
      <c r="BE230" s="552">
        <f>IF(BC230="","",4)</f>
        <v>4</v>
      </c>
      <c r="BF230" s="554" t="str">
        <f t="shared" si="403"/>
        <v/>
      </c>
      <c r="BG230" s="554" t="str">
        <f>IF(BF230="","","Broken Wire (# Broken Subconductors)")</f>
        <v/>
      </c>
      <c r="BH230" s="552" t="str">
        <f>IF(BF230="","",4)</f>
        <v/>
      </c>
      <c r="BI230" s="554" t="str">
        <f>IF($N230="","",$N230+10&amp;":1:"&amp;IF($L230="A","Ahead","Back"))</f>
        <v/>
      </c>
      <c r="BJ230" s="554" t="str">
        <f>IF(BI230="","","Broken Wire (# Broken Subconductors)")</f>
        <v/>
      </c>
      <c r="BK230" s="552" t="str">
        <f>IF(BI230="","",4)</f>
        <v/>
      </c>
      <c r="BL230" s="554" t="str">
        <f>IF($O230="","",$O230&amp;":1:"&amp;IF($L230="A","Ahead","Back"))</f>
        <v/>
      </c>
      <c r="BM230" s="554" t="str">
        <f>IF(BL230="","","Broken Wire (# Broken Subconductors)")</f>
        <v/>
      </c>
      <c r="BN230" s="552" t="str">
        <f>IF(BL230="","",4)</f>
        <v/>
      </c>
      <c r="BO230" s="554" t="str">
        <f>IF($O230="","",$O230+10&amp;":1:"&amp;IF($L230="A","Ahead","Back"))</f>
        <v/>
      </c>
      <c r="BP230" s="554" t="str">
        <f>IF(BO230="","","Broken Wire (# Broken Subconductors)")</f>
        <v/>
      </c>
      <c r="BQ230" s="552" t="str">
        <f>IF(BO230="","",4)</f>
        <v/>
      </c>
      <c r="BR230" s="554"/>
      <c r="BS230" s="554"/>
      <c r="BT230" s="554"/>
      <c r="BU230" s="554"/>
      <c r="BV230" s="554"/>
      <c r="BW230" s="554"/>
      <c r="BX230" s="554"/>
      <c r="BY230" s="554"/>
      <c r="BZ230" s="554"/>
      <c r="CA230" s="554"/>
      <c r="CB230" s="554"/>
      <c r="CC230" s="554"/>
      <c r="CD230" s="554"/>
      <c r="CE230" s="554"/>
      <c r="CF230" s="554"/>
      <c r="CG230" s="554"/>
      <c r="CH230" s="554"/>
      <c r="CI230" s="554"/>
      <c r="CJ230" s="554"/>
      <c r="CK230" s="554"/>
      <c r="CL230" s="554"/>
      <c r="CM230" s="554"/>
      <c r="CN230" s="554"/>
      <c r="CO230" s="554"/>
      <c r="CP230" s="554"/>
      <c r="CQ230" s="554"/>
      <c r="CR230" s="554"/>
      <c r="CS230" s="554"/>
      <c r="CT230" s="554"/>
      <c r="CU230" s="554"/>
      <c r="CV230" s="554"/>
      <c r="CW230" s="554"/>
      <c r="CX230" s="554"/>
      <c r="CY230" s="554"/>
      <c r="CZ230" s="554"/>
      <c r="DA230" s="554"/>
      <c r="DB230" s="554"/>
      <c r="DC230" s="554"/>
      <c r="DD230" s="554"/>
      <c r="DE230" s="534"/>
      <c r="DF230" s="534"/>
      <c r="DG230" s="534"/>
    </row>
    <row r="231" spans="1:111" ht="15" x14ac:dyDescent="0.25">
      <c r="A231" s="549">
        <f>IFERROR(IF(INDEX('Weather Cases'!$E$10:$E$94,MATCH('Load Criteria'!X231,'Weather Cases'!$H$10:$H$94,0),1)=1,1,"-"),"-")</f>
        <v>1</v>
      </c>
      <c r="B231" s="555" t="s">
        <v>558</v>
      </c>
      <c r="C231" s="555" t="s">
        <v>559</v>
      </c>
      <c r="D231" s="555" t="s">
        <v>579</v>
      </c>
      <c r="E231" s="555">
        <v>1</v>
      </c>
      <c r="F231" s="556" t="s">
        <v>22</v>
      </c>
      <c r="G231" s="556" t="str">
        <f>IFERROR(IF(MID('Load Criteria'!X231,FIND("_",'Load Criteria'!X231,1)+1,1)=LEFT(Control!$D$23,1),"YES","-"),"-")</f>
        <v>-</v>
      </c>
      <c r="H231" s="549" t="s">
        <v>22</v>
      </c>
      <c r="I231" s="557" t="s">
        <v>327</v>
      </c>
      <c r="J231" s="550">
        <f>Control!$D$25</f>
        <v>1</v>
      </c>
      <c r="K231" s="508" t="s">
        <v>571</v>
      </c>
      <c r="L231" s="508" t="s">
        <v>40</v>
      </c>
      <c r="M231" s="594">
        <v>4</v>
      </c>
      <c r="N231" s="508"/>
      <c r="O231" s="508"/>
      <c r="P231" s="395"/>
      <c r="Q231" s="395"/>
      <c r="R231" s="395"/>
      <c r="S231" s="395"/>
      <c r="T231" s="395"/>
      <c r="U231" s="255" t="s">
        <v>568</v>
      </c>
      <c r="V231" s="551"/>
      <c r="W231" s="542" t="str">
        <f t="shared" si="422"/>
        <v>RW0001_8+TB4 NA+</v>
      </c>
      <c r="X231" s="552" t="str">
        <f>I231&amp;TEXT(J231,"0000")&amp;"_"&amp;LEFT(Control!$D$22,LEN(Control!$D$22)-2)</f>
        <v>RW0001_8</v>
      </c>
      <c r="Y231" s="552" t="s">
        <v>433</v>
      </c>
      <c r="Z231" s="552" t="str">
        <f t="shared" ref="Z231:Z235" si="424">U231</f>
        <v>NA+</v>
      </c>
      <c r="AA231" s="552"/>
      <c r="AB231" s="552">
        <v>1</v>
      </c>
      <c r="AC231" s="552">
        <v>1</v>
      </c>
      <c r="AD231" s="552">
        <v>1</v>
      </c>
      <c r="AE231" s="552">
        <v>1</v>
      </c>
      <c r="AF231" s="552">
        <v>1</v>
      </c>
      <c r="AG231" s="542" t="s">
        <v>561</v>
      </c>
      <c r="AH231" s="552">
        <v>0</v>
      </c>
      <c r="AI231" s="552">
        <v>0</v>
      </c>
      <c r="AJ231" s="552">
        <v>1</v>
      </c>
      <c r="AK231" s="552">
        <v>1</v>
      </c>
      <c r="AL231" s="552">
        <v>1</v>
      </c>
      <c r="AM231" s="552">
        <v>0</v>
      </c>
      <c r="AN231" s="552">
        <v>0</v>
      </c>
      <c r="AO231" s="552">
        <v>1</v>
      </c>
      <c r="AP231" s="552">
        <v>1</v>
      </c>
      <c r="AQ231" s="552">
        <v>1</v>
      </c>
      <c r="AR231" s="552">
        <v>1</v>
      </c>
      <c r="AS231" s="552">
        <v>1</v>
      </c>
      <c r="AT231" s="552">
        <v>1</v>
      </c>
      <c r="AU231" s="552">
        <v>1</v>
      </c>
      <c r="AV231" s="592" t="s">
        <v>1132</v>
      </c>
      <c r="AW231" s="552" t="s">
        <v>562</v>
      </c>
      <c r="AX231" s="552"/>
      <c r="AY231" s="552" t="str">
        <f t="shared" si="423"/>
        <v>Yes</v>
      </c>
      <c r="AZ231" s="554" t="str">
        <f t="shared" si="405"/>
        <v>4:1:Back</v>
      </c>
      <c r="BA231" s="554" t="str">
        <f t="shared" ref="BA231:BA235" si="425">IF(AZ231="","","Broken Wire (# Broken Subconductors)")</f>
        <v>Broken Wire (# Broken Subconductors)</v>
      </c>
      <c r="BB231" s="552">
        <f t="shared" ref="BB231:BB235" si="426">IF(AZ231="","",4)</f>
        <v>4</v>
      </c>
      <c r="BC231" s="554" t="str">
        <f t="shared" si="408"/>
        <v>14:1:Back</v>
      </c>
      <c r="BD231" s="554" t="str">
        <f t="shared" ref="BD231:BD235" si="427">IF(BC231="","","Broken Wire (# Broken Subconductors)")</f>
        <v>Broken Wire (# Broken Subconductors)</v>
      </c>
      <c r="BE231" s="552">
        <f t="shared" ref="BE231:BE235" si="428">IF(BC231="","",4)</f>
        <v>4</v>
      </c>
      <c r="BF231" s="554" t="str">
        <f t="shared" si="403"/>
        <v/>
      </c>
      <c r="BG231" s="554" t="str">
        <f t="shared" ref="BG231:BG235" si="429">IF(BF231="","","Broken Wire (# Broken Subconductors)")</f>
        <v/>
      </c>
      <c r="BH231" s="552" t="str">
        <f t="shared" ref="BH231:BH235" si="430">IF(BF231="","",4)</f>
        <v/>
      </c>
      <c r="BI231" s="554" t="str">
        <f t="shared" si="413"/>
        <v/>
      </c>
      <c r="BJ231" s="554" t="str">
        <f t="shared" ref="BJ231:BJ235" si="431">IF(BI231="","","Broken Wire (# Broken Subconductors)")</f>
        <v/>
      </c>
      <c r="BK231" s="552" t="str">
        <f t="shared" ref="BK231:BK235" si="432">IF(BI231="","",4)</f>
        <v/>
      </c>
      <c r="BL231" s="554" t="str">
        <f t="shared" si="416"/>
        <v/>
      </c>
      <c r="BM231" s="554" t="str">
        <f t="shared" ref="BM231:BM235" si="433">IF(BL231="","","Broken Wire (# Broken Subconductors)")</f>
        <v/>
      </c>
      <c r="BN231" s="552" t="str">
        <f t="shared" ref="BN231:BN235" si="434">IF(BL231="","",4)</f>
        <v/>
      </c>
      <c r="BO231" s="554" t="str">
        <f t="shared" si="419"/>
        <v/>
      </c>
      <c r="BP231" s="554" t="str">
        <f t="shared" ref="BP231:BP235" si="435">IF(BO231="","","Broken Wire (# Broken Subconductors)")</f>
        <v/>
      </c>
      <c r="BQ231" s="552" t="str">
        <f t="shared" ref="BQ231:BQ235" si="436">IF(BO231="","",4)</f>
        <v/>
      </c>
      <c r="BR231" s="554"/>
      <c r="BS231" s="554"/>
      <c r="BT231" s="554"/>
      <c r="BU231" s="554"/>
      <c r="BV231" s="554"/>
      <c r="BW231" s="554"/>
      <c r="BX231" s="554"/>
      <c r="BY231" s="554"/>
      <c r="BZ231" s="554"/>
      <c r="CA231" s="554"/>
      <c r="CB231" s="554"/>
      <c r="CC231" s="554"/>
      <c r="CD231" s="554"/>
      <c r="CE231" s="554"/>
      <c r="CF231" s="554"/>
      <c r="CG231" s="554"/>
      <c r="CH231" s="554"/>
      <c r="CI231" s="554"/>
      <c r="CJ231" s="554"/>
      <c r="CK231" s="554"/>
      <c r="CL231" s="554"/>
      <c r="CM231" s="554"/>
      <c r="CN231" s="554"/>
      <c r="CO231" s="554"/>
      <c r="CP231" s="554"/>
      <c r="CQ231" s="554"/>
      <c r="CR231" s="554"/>
      <c r="CS231" s="554"/>
      <c r="CT231" s="554"/>
      <c r="CU231" s="554"/>
      <c r="CV231" s="554"/>
      <c r="CW231" s="554"/>
      <c r="CX231" s="554"/>
      <c r="CY231" s="554"/>
      <c r="CZ231" s="554"/>
      <c r="DA231" s="554"/>
      <c r="DB231" s="554"/>
      <c r="DC231" s="554"/>
      <c r="DD231" s="554"/>
      <c r="DE231" s="534"/>
      <c r="DF231" s="534"/>
      <c r="DG231" s="534"/>
    </row>
    <row r="232" spans="1:111" ht="15" x14ac:dyDescent="0.25">
      <c r="A232" s="549">
        <f>IFERROR(IF(INDEX('Weather Cases'!$E$10:$E$94,MATCH('Load Criteria'!X232,'Weather Cases'!$H$10:$H$94,0),1)=1,1,"-"),"-")</f>
        <v>1</v>
      </c>
      <c r="B232" s="555" t="s">
        <v>558</v>
      </c>
      <c r="C232" s="555" t="s">
        <v>559</v>
      </c>
      <c r="D232" s="555" t="s">
        <v>579</v>
      </c>
      <c r="E232" s="555">
        <v>1</v>
      </c>
      <c r="F232" s="556" t="s">
        <v>22</v>
      </c>
      <c r="G232" s="556" t="str">
        <f>IFERROR(IF(MID('Load Criteria'!X232,FIND("_",'Load Criteria'!X232,1)+1,1)=LEFT(Control!$D$23,1),"YES","-"),"-")</f>
        <v>-</v>
      </c>
      <c r="H232" s="549" t="s">
        <v>22</v>
      </c>
      <c r="I232" s="557" t="s">
        <v>327</v>
      </c>
      <c r="J232" s="550">
        <f>Control!$D$25</f>
        <v>1</v>
      </c>
      <c r="K232" s="508" t="s">
        <v>571</v>
      </c>
      <c r="L232" s="508" t="s">
        <v>24</v>
      </c>
      <c r="M232" s="594">
        <v>5</v>
      </c>
      <c r="N232" s="508"/>
      <c r="O232" s="508"/>
      <c r="P232" s="395"/>
      <c r="Q232" s="395"/>
      <c r="R232" s="395"/>
      <c r="S232" s="395"/>
      <c r="T232" s="395"/>
      <c r="U232" s="255" t="s">
        <v>568</v>
      </c>
      <c r="V232" s="551"/>
      <c r="W232" s="542" t="str">
        <f t="shared" si="422"/>
        <v>RW0001_8+TA5 NA+</v>
      </c>
      <c r="X232" s="552" t="str">
        <f>I232&amp;TEXT(J232,"0000")&amp;"_"&amp;LEFT(Control!$D$22,LEN(Control!$D$22)-2)</f>
        <v>RW0001_8</v>
      </c>
      <c r="Y232" s="552" t="s">
        <v>433</v>
      </c>
      <c r="Z232" s="552" t="str">
        <f t="shared" si="424"/>
        <v>NA+</v>
      </c>
      <c r="AA232" s="552"/>
      <c r="AB232" s="552">
        <v>1</v>
      </c>
      <c r="AC232" s="552">
        <v>1</v>
      </c>
      <c r="AD232" s="552">
        <v>1</v>
      </c>
      <c r="AE232" s="552">
        <v>1</v>
      </c>
      <c r="AF232" s="552">
        <v>1</v>
      </c>
      <c r="AG232" s="542" t="s">
        <v>561</v>
      </c>
      <c r="AH232" s="552">
        <v>0</v>
      </c>
      <c r="AI232" s="552">
        <v>0</v>
      </c>
      <c r="AJ232" s="552">
        <v>1</v>
      </c>
      <c r="AK232" s="552">
        <v>1</v>
      </c>
      <c r="AL232" s="552">
        <v>1</v>
      </c>
      <c r="AM232" s="552">
        <v>0</v>
      </c>
      <c r="AN232" s="552">
        <v>0</v>
      </c>
      <c r="AO232" s="552">
        <v>1</v>
      </c>
      <c r="AP232" s="552">
        <v>1</v>
      </c>
      <c r="AQ232" s="552">
        <v>1</v>
      </c>
      <c r="AR232" s="552">
        <v>1</v>
      </c>
      <c r="AS232" s="552">
        <v>1</v>
      </c>
      <c r="AT232" s="552">
        <v>1</v>
      </c>
      <c r="AU232" s="552">
        <v>1</v>
      </c>
      <c r="AV232" s="592" t="s">
        <v>1132</v>
      </c>
      <c r="AW232" s="552" t="s">
        <v>562</v>
      </c>
      <c r="AX232" s="552"/>
      <c r="AY232" s="552" t="str">
        <f t="shared" si="423"/>
        <v>Yes</v>
      </c>
      <c r="AZ232" s="554" t="str">
        <f t="shared" si="405"/>
        <v>5:1:Ahead</v>
      </c>
      <c r="BA232" s="554" t="str">
        <f t="shared" si="425"/>
        <v>Broken Wire (# Broken Subconductors)</v>
      </c>
      <c r="BB232" s="552">
        <f t="shared" si="426"/>
        <v>4</v>
      </c>
      <c r="BC232" s="554" t="str">
        <f t="shared" si="408"/>
        <v>15:1:Ahead</v>
      </c>
      <c r="BD232" s="554" t="str">
        <f t="shared" si="427"/>
        <v>Broken Wire (# Broken Subconductors)</v>
      </c>
      <c r="BE232" s="552">
        <f t="shared" si="428"/>
        <v>4</v>
      </c>
      <c r="BF232" s="554" t="str">
        <f t="shared" si="403"/>
        <v/>
      </c>
      <c r="BG232" s="554" t="str">
        <f t="shared" si="429"/>
        <v/>
      </c>
      <c r="BH232" s="552" t="str">
        <f t="shared" si="430"/>
        <v/>
      </c>
      <c r="BI232" s="554" t="str">
        <f t="shared" si="413"/>
        <v/>
      </c>
      <c r="BJ232" s="554" t="str">
        <f t="shared" si="431"/>
        <v/>
      </c>
      <c r="BK232" s="552" t="str">
        <f t="shared" si="432"/>
        <v/>
      </c>
      <c r="BL232" s="554" t="str">
        <f t="shared" si="416"/>
        <v/>
      </c>
      <c r="BM232" s="554" t="str">
        <f t="shared" si="433"/>
        <v/>
      </c>
      <c r="BN232" s="552" t="str">
        <f t="shared" si="434"/>
        <v/>
      </c>
      <c r="BO232" s="554" t="str">
        <f t="shared" si="419"/>
        <v/>
      </c>
      <c r="BP232" s="554" t="str">
        <f t="shared" si="435"/>
        <v/>
      </c>
      <c r="BQ232" s="552" t="str">
        <f t="shared" si="436"/>
        <v/>
      </c>
      <c r="BR232" s="554"/>
      <c r="BS232" s="554"/>
      <c r="BT232" s="554"/>
      <c r="BU232" s="554"/>
      <c r="BV232" s="554"/>
      <c r="BW232" s="554"/>
      <c r="BX232" s="554"/>
      <c r="BY232" s="554"/>
      <c r="BZ232" s="554"/>
      <c r="CA232" s="554"/>
      <c r="CB232" s="554"/>
      <c r="CC232" s="554"/>
      <c r="CD232" s="554"/>
      <c r="CE232" s="554"/>
      <c r="CF232" s="554"/>
      <c r="CG232" s="554"/>
      <c r="CH232" s="554"/>
      <c r="CI232" s="554"/>
      <c r="CJ232" s="554"/>
      <c r="CK232" s="554"/>
      <c r="CL232" s="554"/>
      <c r="CM232" s="554"/>
      <c r="CN232" s="554"/>
      <c r="CO232" s="554"/>
      <c r="CP232" s="554"/>
      <c r="CQ232" s="554"/>
      <c r="CR232" s="554"/>
      <c r="CS232" s="554"/>
      <c r="CT232" s="554"/>
      <c r="CU232" s="554"/>
      <c r="CV232" s="554"/>
      <c r="CW232" s="554"/>
      <c r="CX232" s="554"/>
      <c r="CY232" s="554"/>
      <c r="CZ232" s="554"/>
      <c r="DA232" s="554"/>
      <c r="DB232" s="554"/>
      <c r="DC232" s="554"/>
      <c r="DD232" s="554"/>
      <c r="DE232" s="534"/>
      <c r="DF232" s="534"/>
      <c r="DG232" s="534"/>
    </row>
    <row r="233" spans="1:111" ht="15" x14ac:dyDescent="0.25">
      <c r="A233" s="549">
        <f>IFERROR(IF(INDEX('Weather Cases'!$E$10:$E$94,MATCH('Load Criteria'!X233,'Weather Cases'!$H$10:$H$94,0),1)=1,1,"-"),"-")</f>
        <v>1</v>
      </c>
      <c r="B233" s="555" t="s">
        <v>558</v>
      </c>
      <c r="C233" s="555" t="s">
        <v>559</v>
      </c>
      <c r="D233" s="555" t="s">
        <v>579</v>
      </c>
      <c r="E233" s="555">
        <v>1</v>
      </c>
      <c r="F233" s="556" t="s">
        <v>22</v>
      </c>
      <c r="G233" s="556" t="str">
        <f>IFERROR(IF(MID('Load Criteria'!X233,FIND("_",'Load Criteria'!X233,1)+1,1)=LEFT(Control!$D$23,1),"YES","-"),"-")</f>
        <v>-</v>
      </c>
      <c r="H233" s="549" t="s">
        <v>22</v>
      </c>
      <c r="I233" s="557" t="s">
        <v>327</v>
      </c>
      <c r="J233" s="550">
        <f>Control!$D$25</f>
        <v>1</v>
      </c>
      <c r="K233" s="508" t="s">
        <v>571</v>
      </c>
      <c r="L233" s="508" t="s">
        <v>40</v>
      </c>
      <c r="M233" s="594">
        <v>5</v>
      </c>
      <c r="N233" s="508"/>
      <c r="O233" s="508"/>
      <c r="P233" s="395"/>
      <c r="Q233" s="395"/>
      <c r="R233" s="395"/>
      <c r="S233" s="395"/>
      <c r="T233" s="395"/>
      <c r="U233" s="255" t="s">
        <v>568</v>
      </c>
      <c r="V233" s="551"/>
      <c r="W233" s="542" t="str">
        <f t="shared" si="422"/>
        <v>RW0001_8+TB5 NA+</v>
      </c>
      <c r="X233" s="552" t="str">
        <f>I233&amp;TEXT(J233,"0000")&amp;"_"&amp;LEFT(Control!$D$22,LEN(Control!$D$22)-2)</f>
        <v>RW0001_8</v>
      </c>
      <c r="Y233" s="552" t="s">
        <v>433</v>
      </c>
      <c r="Z233" s="552" t="str">
        <f t="shared" si="424"/>
        <v>NA+</v>
      </c>
      <c r="AA233" s="552"/>
      <c r="AB233" s="552">
        <v>1</v>
      </c>
      <c r="AC233" s="552">
        <v>1</v>
      </c>
      <c r="AD233" s="552">
        <v>1</v>
      </c>
      <c r="AE233" s="552">
        <v>1</v>
      </c>
      <c r="AF233" s="552">
        <v>1</v>
      </c>
      <c r="AG233" s="542" t="s">
        <v>561</v>
      </c>
      <c r="AH233" s="552">
        <v>0</v>
      </c>
      <c r="AI233" s="552">
        <v>0</v>
      </c>
      <c r="AJ233" s="552">
        <v>1</v>
      </c>
      <c r="AK233" s="552">
        <v>1</v>
      </c>
      <c r="AL233" s="552">
        <v>1</v>
      </c>
      <c r="AM233" s="552">
        <v>0</v>
      </c>
      <c r="AN233" s="552">
        <v>0</v>
      </c>
      <c r="AO233" s="552">
        <v>1</v>
      </c>
      <c r="AP233" s="552">
        <v>1</v>
      </c>
      <c r="AQ233" s="552">
        <v>1</v>
      </c>
      <c r="AR233" s="552">
        <v>1</v>
      </c>
      <c r="AS233" s="552">
        <v>1</v>
      </c>
      <c r="AT233" s="552">
        <v>1</v>
      </c>
      <c r="AU233" s="552">
        <v>1</v>
      </c>
      <c r="AV233" s="592" t="s">
        <v>1132</v>
      </c>
      <c r="AW233" s="552" t="s">
        <v>562</v>
      </c>
      <c r="AX233" s="552"/>
      <c r="AY233" s="552" t="str">
        <f t="shared" si="423"/>
        <v>Yes</v>
      </c>
      <c r="AZ233" s="554" t="str">
        <f t="shared" si="405"/>
        <v>5:1:Back</v>
      </c>
      <c r="BA233" s="554" t="str">
        <f t="shared" si="425"/>
        <v>Broken Wire (# Broken Subconductors)</v>
      </c>
      <c r="BB233" s="552">
        <f t="shared" si="426"/>
        <v>4</v>
      </c>
      <c r="BC233" s="554" t="str">
        <f t="shared" si="408"/>
        <v>15:1:Back</v>
      </c>
      <c r="BD233" s="554" t="str">
        <f t="shared" si="427"/>
        <v>Broken Wire (# Broken Subconductors)</v>
      </c>
      <c r="BE233" s="552">
        <f t="shared" si="428"/>
        <v>4</v>
      </c>
      <c r="BF233" s="554" t="str">
        <f t="shared" si="403"/>
        <v/>
      </c>
      <c r="BG233" s="554" t="str">
        <f t="shared" si="429"/>
        <v/>
      </c>
      <c r="BH233" s="552" t="str">
        <f t="shared" si="430"/>
        <v/>
      </c>
      <c r="BI233" s="554" t="str">
        <f t="shared" si="413"/>
        <v/>
      </c>
      <c r="BJ233" s="554" t="str">
        <f t="shared" si="431"/>
        <v/>
      </c>
      <c r="BK233" s="552" t="str">
        <f t="shared" si="432"/>
        <v/>
      </c>
      <c r="BL233" s="554" t="str">
        <f t="shared" si="416"/>
        <v/>
      </c>
      <c r="BM233" s="554" t="str">
        <f t="shared" si="433"/>
        <v/>
      </c>
      <c r="BN233" s="552" t="str">
        <f t="shared" si="434"/>
        <v/>
      </c>
      <c r="BO233" s="554" t="str">
        <f t="shared" si="419"/>
        <v/>
      </c>
      <c r="BP233" s="554" t="str">
        <f t="shared" si="435"/>
        <v/>
      </c>
      <c r="BQ233" s="552" t="str">
        <f t="shared" si="436"/>
        <v/>
      </c>
      <c r="BR233" s="554"/>
      <c r="BS233" s="554"/>
      <c r="BT233" s="554"/>
      <c r="BU233" s="554"/>
      <c r="BV233" s="554"/>
      <c r="BW233" s="554"/>
      <c r="BX233" s="554"/>
      <c r="BY233" s="554"/>
      <c r="BZ233" s="554"/>
      <c r="CA233" s="554"/>
      <c r="CB233" s="554"/>
      <c r="CC233" s="554"/>
      <c r="CD233" s="554"/>
      <c r="CE233" s="554"/>
      <c r="CF233" s="554"/>
      <c r="CG233" s="554"/>
      <c r="CH233" s="554"/>
      <c r="CI233" s="554"/>
      <c r="CJ233" s="554"/>
      <c r="CK233" s="554"/>
      <c r="CL233" s="554"/>
      <c r="CM233" s="554"/>
      <c r="CN233" s="554"/>
      <c r="CO233" s="554"/>
      <c r="CP233" s="554"/>
      <c r="CQ233" s="554"/>
      <c r="CR233" s="554"/>
      <c r="CS233" s="554"/>
      <c r="CT233" s="554"/>
      <c r="CU233" s="554"/>
      <c r="CV233" s="554"/>
      <c r="CW233" s="554"/>
      <c r="CX233" s="554"/>
      <c r="CY233" s="554"/>
      <c r="CZ233" s="554"/>
      <c r="DA233" s="554"/>
      <c r="DB233" s="554"/>
      <c r="DC233" s="554"/>
      <c r="DD233" s="554"/>
      <c r="DE233" s="534"/>
      <c r="DF233" s="534"/>
      <c r="DG233" s="534"/>
    </row>
    <row r="234" spans="1:111" ht="15" x14ac:dyDescent="0.25">
      <c r="A234" s="549">
        <f>IFERROR(IF(INDEX('Weather Cases'!$E$10:$E$94,MATCH('Load Criteria'!X234,'Weather Cases'!$H$10:$H$94,0),1)=1,1,"-"),"-")</f>
        <v>1</v>
      </c>
      <c r="B234" s="555" t="s">
        <v>558</v>
      </c>
      <c r="C234" s="555" t="s">
        <v>559</v>
      </c>
      <c r="D234" s="555" t="s">
        <v>579</v>
      </c>
      <c r="E234" s="555">
        <v>1</v>
      </c>
      <c r="F234" s="556" t="s">
        <v>22</v>
      </c>
      <c r="G234" s="556" t="str">
        <f>IFERROR(IF(MID('Load Criteria'!X234,FIND("_",'Load Criteria'!X234,1)+1,1)=LEFT(Control!$D$23,1),"YES","-"),"-")</f>
        <v>-</v>
      </c>
      <c r="H234" s="549" t="s">
        <v>22</v>
      </c>
      <c r="I234" s="557" t="s">
        <v>327</v>
      </c>
      <c r="J234" s="550">
        <f>Control!$D$25</f>
        <v>1</v>
      </c>
      <c r="K234" s="508" t="s">
        <v>571</v>
      </c>
      <c r="L234" s="508" t="s">
        <v>24</v>
      </c>
      <c r="M234" s="594">
        <v>6</v>
      </c>
      <c r="N234" s="508"/>
      <c r="O234" s="508"/>
      <c r="P234" s="395"/>
      <c r="Q234" s="395"/>
      <c r="R234" s="395"/>
      <c r="S234" s="395"/>
      <c r="T234" s="395"/>
      <c r="U234" s="255" t="s">
        <v>568</v>
      </c>
      <c r="V234" s="551"/>
      <c r="W234" s="542" t="str">
        <f t="shared" si="422"/>
        <v>RW0001_8+TA6 NA+</v>
      </c>
      <c r="X234" s="552" t="str">
        <f>I234&amp;TEXT(J234,"0000")&amp;"_"&amp;LEFT(Control!$D$22,LEN(Control!$D$22)-2)</f>
        <v>RW0001_8</v>
      </c>
      <c r="Y234" s="552" t="s">
        <v>433</v>
      </c>
      <c r="Z234" s="552" t="str">
        <f t="shared" si="424"/>
        <v>NA+</v>
      </c>
      <c r="AA234" s="552"/>
      <c r="AB234" s="552">
        <v>1</v>
      </c>
      <c r="AC234" s="552">
        <v>1</v>
      </c>
      <c r="AD234" s="552">
        <v>1</v>
      </c>
      <c r="AE234" s="552">
        <v>1</v>
      </c>
      <c r="AF234" s="552">
        <v>1</v>
      </c>
      <c r="AG234" s="542" t="s">
        <v>561</v>
      </c>
      <c r="AH234" s="552">
        <v>0</v>
      </c>
      <c r="AI234" s="552">
        <v>0</v>
      </c>
      <c r="AJ234" s="552">
        <v>1</v>
      </c>
      <c r="AK234" s="552">
        <v>1</v>
      </c>
      <c r="AL234" s="552">
        <v>1</v>
      </c>
      <c r="AM234" s="552">
        <v>0</v>
      </c>
      <c r="AN234" s="552">
        <v>0</v>
      </c>
      <c r="AO234" s="552">
        <v>1</v>
      </c>
      <c r="AP234" s="552">
        <v>1</v>
      </c>
      <c r="AQ234" s="552">
        <v>1</v>
      </c>
      <c r="AR234" s="552">
        <v>1</v>
      </c>
      <c r="AS234" s="552">
        <v>1</v>
      </c>
      <c r="AT234" s="552">
        <v>1</v>
      </c>
      <c r="AU234" s="552">
        <v>1</v>
      </c>
      <c r="AV234" s="592" t="s">
        <v>1132</v>
      </c>
      <c r="AW234" s="552" t="s">
        <v>562</v>
      </c>
      <c r="AX234" s="552"/>
      <c r="AY234" s="552" t="str">
        <f t="shared" si="423"/>
        <v>Yes</v>
      </c>
      <c r="AZ234" s="554" t="str">
        <f t="shared" si="405"/>
        <v>6:1:Ahead</v>
      </c>
      <c r="BA234" s="554" t="str">
        <f t="shared" si="425"/>
        <v>Broken Wire (# Broken Subconductors)</v>
      </c>
      <c r="BB234" s="552">
        <f t="shared" si="426"/>
        <v>4</v>
      </c>
      <c r="BC234" s="554" t="str">
        <f t="shared" si="408"/>
        <v>16:1:Ahead</v>
      </c>
      <c r="BD234" s="554" t="str">
        <f t="shared" si="427"/>
        <v>Broken Wire (# Broken Subconductors)</v>
      </c>
      <c r="BE234" s="552">
        <f t="shared" si="428"/>
        <v>4</v>
      </c>
      <c r="BF234" s="554" t="str">
        <f t="shared" si="403"/>
        <v/>
      </c>
      <c r="BG234" s="554" t="str">
        <f t="shared" si="429"/>
        <v/>
      </c>
      <c r="BH234" s="552" t="str">
        <f t="shared" si="430"/>
        <v/>
      </c>
      <c r="BI234" s="554" t="str">
        <f t="shared" si="413"/>
        <v/>
      </c>
      <c r="BJ234" s="554" t="str">
        <f t="shared" si="431"/>
        <v/>
      </c>
      <c r="BK234" s="552" t="str">
        <f t="shared" si="432"/>
        <v/>
      </c>
      <c r="BL234" s="554" t="str">
        <f t="shared" si="416"/>
        <v/>
      </c>
      <c r="BM234" s="554" t="str">
        <f t="shared" si="433"/>
        <v/>
      </c>
      <c r="BN234" s="552" t="str">
        <f t="shared" si="434"/>
        <v/>
      </c>
      <c r="BO234" s="554" t="str">
        <f t="shared" si="419"/>
        <v/>
      </c>
      <c r="BP234" s="554" t="str">
        <f t="shared" si="435"/>
        <v/>
      </c>
      <c r="BQ234" s="552" t="str">
        <f t="shared" si="436"/>
        <v/>
      </c>
      <c r="BR234" s="554"/>
      <c r="BS234" s="554"/>
      <c r="BT234" s="554"/>
      <c r="BU234" s="554"/>
      <c r="BV234" s="554"/>
      <c r="BW234" s="554"/>
      <c r="BX234" s="554"/>
      <c r="BY234" s="554"/>
      <c r="BZ234" s="554"/>
      <c r="CA234" s="554"/>
      <c r="CB234" s="554"/>
      <c r="CC234" s="554"/>
      <c r="CD234" s="554"/>
      <c r="CE234" s="554"/>
      <c r="CF234" s="554"/>
      <c r="CG234" s="554"/>
      <c r="CH234" s="554"/>
      <c r="CI234" s="554"/>
      <c r="CJ234" s="554"/>
      <c r="CK234" s="554"/>
      <c r="CL234" s="554"/>
      <c r="CM234" s="554"/>
      <c r="CN234" s="554"/>
      <c r="CO234" s="554"/>
      <c r="CP234" s="554"/>
      <c r="CQ234" s="554"/>
      <c r="CR234" s="554"/>
      <c r="CS234" s="554"/>
      <c r="CT234" s="554"/>
      <c r="CU234" s="554"/>
      <c r="CV234" s="554"/>
      <c r="CW234" s="554"/>
      <c r="CX234" s="554"/>
      <c r="CY234" s="554"/>
      <c r="CZ234" s="554"/>
      <c r="DA234" s="554"/>
      <c r="DB234" s="554"/>
      <c r="DC234" s="554"/>
      <c r="DD234" s="554"/>
      <c r="DE234" s="534"/>
      <c r="DF234" s="534"/>
      <c r="DG234" s="534"/>
    </row>
    <row r="235" spans="1:111" ht="15" x14ac:dyDescent="0.25">
      <c r="A235" s="549">
        <f>IFERROR(IF(INDEX('Weather Cases'!$E$10:$E$94,MATCH('Load Criteria'!X235,'Weather Cases'!$H$10:$H$94,0),1)=1,1,"-"),"-")</f>
        <v>1</v>
      </c>
      <c r="B235" s="555" t="s">
        <v>558</v>
      </c>
      <c r="C235" s="555" t="s">
        <v>559</v>
      </c>
      <c r="D235" s="555" t="s">
        <v>579</v>
      </c>
      <c r="E235" s="555">
        <v>1</v>
      </c>
      <c r="F235" s="556" t="s">
        <v>22</v>
      </c>
      <c r="G235" s="556" t="str">
        <f>IFERROR(IF(MID('Load Criteria'!X235,FIND("_",'Load Criteria'!X235,1)+1,1)=LEFT(Control!$D$23,1),"YES","-"),"-")</f>
        <v>-</v>
      </c>
      <c r="H235" s="549" t="s">
        <v>22</v>
      </c>
      <c r="I235" s="557" t="s">
        <v>327</v>
      </c>
      <c r="J235" s="550">
        <f>Control!$D$25</f>
        <v>1</v>
      </c>
      <c r="K235" s="508" t="s">
        <v>571</v>
      </c>
      <c r="L235" s="508" t="s">
        <v>40</v>
      </c>
      <c r="M235" s="594">
        <v>6</v>
      </c>
      <c r="N235" s="508"/>
      <c r="O235" s="508"/>
      <c r="P235" s="395"/>
      <c r="Q235" s="395"/>
      <c r="R235" s="395"/>
      <c r="S235" s="395"/>
      <c r="T235" s="395"/>
      <c r="U235" s="255" t="s">
        <v>568</v>
      </c>
      <c r="V235" s="551"/>
      <c r="W235" s="542" t="str">
        <f t="shared" si="422"/>
        <v>RW0001_8+TB6 NA+</v>
      </c>
      <c r="X235" s="552" t="str">
        <f>I235&amp;TEXT(J235,"0000")&amp;"_"&amp;LEFT(Control!$D$22,LEN(Control!$D$22)-2)</f>
        <v>RW0001_8</v>
      </c>
      <c r="Y235" s="552" t="s">
        <v>433</v>
      </c>
      <c r="Z235" s="552" t="str">
        <f t="shared" si="424"/>
        <v>NA+</v>
      </c>
      <c r="AA235" s="552"/>
      <c r="AB235" s="552">
        <v>1</v>
      </c>
      <c r="AC235" s="552">
        <v>1</v>
      </c>
      <c r="AD235" s="552">
        <v>1</v>
      </c>
      <c r="AE235" s="552">
        <v>1</v>
      </c>
      <c r="AF235" s="552">
        <v>1</v>
      </c>
      <c r="AG235" s="542" t="s">
        <v>561</v>
      </c>
      <c r="AH235" s="552">
        <v>0</v>
      </c>
      <c r="AI235" s="552">
        <v>0</v>
      </c>
      <c r="AJ235" s="552">
        <v>1</v>
      </c>
      <c r="AK235" s="552">
        <v>1</v>
      </c>
      <c r="AL235" s="552">
        <v>1</v>
      </c>
      <c r="AM235" s="552">
        <v>0</v>
      </c>
      <c r="AN235" s="552">
        <v>0</v>
      </c>
      <c r="AO235" s="552">
        <v>1</v>
      </c>
      <c r="AP235" s="552">
        <v>1</v>
      </c>
      <c r="AQ235" s="552">
        <v>1</v>
      </c>
      <c r="AR235" s="552">
        <v>1</v>
      </c>
      <c r="AS235" s="552">
        <v>1</v>
      </c>
      <c r="AT235" s="552">
        <v>1</v>
      </c>
      <c r="AU235" s="552">
        <v>1</v>
      </c>
      <c r="AV235" s="592" t="s">
        <v>1132</v>
      </c>
      <c r="AW235" s="552" t="s">
        <v>562</v>
      </c>
      <c r="AX235" s="552"/>
      <c r="AY235" s="552" t="str">
        <f t="shared" si="423"/>
        <v>Yes</v>
      </c>
      <c r="AZ235" s="554" t="str">
        <f t="shared" si="405"/>
        <v>6:1:Back</v>
      </c>
      <c r="BA235" s="554" t="str">
        <f t="shared" si="425"/>
        <v>Broken Wire (# Broken Subconductors)</v>
      </c>
      <c r="BB235" s="552">
        <f t="shared" si="426"/>
        <v>4</v>
      </c>
      <c r="BC235" s="554" t="str">
        <f t="shared" si="408"/>
        <v>16:1:Back</v>
      </c>
      <c r="BD235" s="554" t="str">
        <f t="shared" si="427"/>
        <v>Broken Wire (# Broken Subconductors)</v>
      </c>
      <c r="BE235" s="552">
        <f t="shared" si="428"/>
        <v>4</v>
      </c>
      <c r="BF235" s="554" t="str">
        <f t="shared" si="403"/>
        <v/>
      </c>
      <c r="BG235" s="554" t="str">
        <f t="shared" si="429"/>
        <v/>
      </c>
      <c r="BH235" s="552" t="str">
        <f t="shared" si="430"/>
        <v/>
      </c>
      <c r="BI235" s="554" t="str">
        <f t="shared" si="413"/>
        <v/>
      </c>
      <c r="BJ235" s="554" t="str">
        <f t="shared" si="431"/>
        <v/>
      </c>
      <c r="BK235" s="552" t="str">
        <f t="shared" si="432"/>
        <v/>
      </c>
      <c r="BL235" s="554" t="str">
        <f t="shared" si="416"/>
        <v/>
      </c>
      <c r="BM235" s="554" t="str">
        <f t="shared" si="433"/>
        <v/>
      </c>
      <c r="BN235" s="552" t="str">
        <f t="shared" si="434"/>
        <v/>
      </c>
      <c r="BO235" s="554" t="str">
        <f t="shared" si="419"/>
        <v/>
      </c>
      <c r="BP235" s="554" t="str">
        <f t="shared" si="435"/>
        <v/>
      </c>
      <c r="BQ235" s="552" t="str">
        <f t="shared" si="436"/>
        <v/>
      </c>
      <c r="BR235" s="554"/>
      <c r="BS235" s="554"/>
      <c r="BT235" s="554"/>
      <c r="BU235" s="554"/>
      <c r="BV235" s="554"/>
      <c r="BW235" s="554"/>
      <c r="BX235" s="554"/>
      <c r="BY235" s="554"/>
      <c r="BZ235" s="554"/>
      <c r="CA235" s="554"/>
      <c r="CB235" s="554"/>
      <c r="CC235" s="554"/>
      <c r="CD235" s="554"/>
      <c r="CE235" s="554"/>
      <c r="CF235" s="554"/>
      <c r="CG235" s="554"/>
      <c r="CH235" s="554"/>
      <c r="CI235" s="554"/>
      <c r="CJ235" s="554"/>
      <c r="CK235" s="554"/>
      <c r="CL235" s="554"/>
      <c r="CM235" s="554"/>
      <c r="CN235" s="554"/>
      <c r="CO235" s="554"/>
      <c r="CP235" s="554"/>
      <c r="CQ235" s="554"/>
      <c r="CR235" s="554"/>
      <c r="CS235" s="554"/>
      <c r="CT235" s="554"/>
      <c r="CU235" s="554"/>
      <c r="CV235" s="554"/>
      <c r="CW235" s="554"/>
      <c r="CX235" s="554"/>
      <c r="CY235" s="554"/>
      <c r="CZ235" s="554"/>
      <c r="DA235" s="554"/>
      <c r="DB235" s="554"/>
      <c r="DC235" s="554"/>
      <c r="DD235" s="554"/>
      <c r="DE235" s="534"/>
      <c r="DF235" s="534"/>
      <c r="DG235" s="534"/>
    </row>
    <row r="236" spans="1:111" ht="15" x14ac:dyDescent="0.25">
      <c r="A236" s="549">
        <f>IFERROR(IF(INDEX('Weather Cases'!$E$10:$E$94,MATCH('Load Criteria'!X236,'Weather Cases'!$H$10:$H$94,0),1)=1,1,"-"),"-")</f>
        <v>1</v>
      </c>
      <c r="B236" s="555" t="s">
        <v>558</v>
      </c>
      <c r="C236" s="555" t="s">
        <v>559</v>
      </c>
      <c r="D236" s="555" t="s">
        <v>579</v>
      </c>
      <c r="E236" s="555">
        <v>1</v>
      </c>
      <c r="F236" s="555" t="s">
        <v>580</v>
      </c>
      <c r="G236" s="556" t="str">
        <f>IFERROR(IF(MID('Load Criteria'!X236,FIND("_",'Load Criteria'!X236,1)+1,1)=LEFT(Control!$D$23,1),"YES","-"),"-")</f>
        <v>-</v>
      </c>
      <c r="H236" s="549" t="s">
        <v>22</v>
      </c>
      <c r="I236" s="557" t="s">
        <v>327</v>
      </c>
      <c r="J236" s="550">
        <f>Control!$D$25</f>
        <v>1</v>
      </c>
      <c r="K236" s="508" t="s">
        <v>571</v>
      </c>
      <c r="L236" s="508" t="s">
        <v>24</v>
      </c>
      <c r="M236" s="550">
        <v>7</v>
      </c>
      <c r="N236" s="550"/>
      <c r="O236" s="550"/>
      <c r="P236" s="392"/>
      <c r="Q236" s="392"/>
      <c r="R236" s="392"/>
      <c r="S236" s="392"/>
      <c r="T236" s="392"/>
      <c r="U236" s="255" t="s">
        <v>568</v>
      </c>
      <c r="V236" s="551"/>
      <c r="W236" s="542" t="str">
        <f t="shared" si="398"/>
        <v>RW0001_8+TA7 NA+</v>
      </c>
      <c r="X236" s="552" t="str">
        <f>I236&amp;TEXT(J236,"0000")&amp;"_"&amp;LEFT(Control!$D$22,LEN(Control!$D$22)-2)</f>
        <v>RW0001_8</v>
      </c>
      <c r="Y236" s="552" t="s">
        <v>433</v>
      </c>
      <c r="Z236" s="552" t="str">
        <f t="shared" si="404"/>
        <v>NA+</v>
      </c>
      <c r="AA236" s="552"/>
      <c r="AB236" s="552">
        <v>1</v>
      </c>
      <c r="AC236" s="552">
        <v>1</v>
      </c>
      <c r="AD236" s="552">
        <v>1</v>
      </c>
      <c r="AE236" s="552">
        <v>1</v>
      </c>
      <c r="AF236" s="552">
        <v>1</v>
      </c>
      <c r="AG236" s="542" t="s">
        <v>561</v>
      </c>
      <c r="AH236" s="552">
        <v>0</v>
      </c>
      <c r="AI236" s="552">
        <v>0</v>
      </c>
      <c r="AJ236" s="552">
        <v>1</v>
      </c>
      <c r="AK236" s="552">
        <v>1</v>
      </c>
      <c r="AL236" s="552">
        <v>1</v>
      </c>
      <c r="AM236" s="552">
        <v>0</v>
      </c>
      <c r="AN236" s="552">
        <v>0</v>
      </c>
      <c r="AO236" s="552">
        <v>1</v>
      </c>
      <c r="AP236" s="552">
        <v>1</v>
      </c>
      <c r="AQ236" s="552">
        <v>1</v>
      </c>
      <c r="AR236" s="552">
        <v>1</v>
      </c>
      <c r="AS236" s="552">
        <v>1</v>
      </c>
      <c r="AT236" s="552">
        <v>1</v>
      </c>
      <c r="AU236" s="552">
        <v>1</v>
      </c>
      <c r="AV236" s="592" t="s">
        <v>1132</v>
      </c>
      <c r="AW236" s="552" t="s">
        <v>562</v>
      </c>
      <c r="AX236" s="552"/>
      <c r="AY236" s="552" t="str">
        <f t="shared" si="401"/>
        <v>Yes</v>
      </c>
      <c r="AZ236" s="554" t="str">
        <f t="shared" si="405"/>
        <v>7:1:Ahead</v>
      </c>
      <c r="BA236" s="554" t="str">
        <f t="shared" si="406"/>
        <v>Broken Wire (# Broken Subconductors)</v>
      </c>
      <c r="BB236" s="552">
        <f t="shared" si="407"/>
        <v>4</v>
      </c>
      <c r="BC236" s="554" t="str">
        <f t="shared" si="408"/>
        <v>17:1:Ahead</v>
      </c>
      <c r="BD236" s="554" t="str">
        <f t="shared" si="409"/>
        <v>Broken Wire (# Broken Subconductors)</v>
      </c>
      <c r="BE236" s="552">
        <f t="shared" si="410"/>
        <v>4</v>
      </c>
      <c r="BF236" s="554" t="str">
        <f t="shared" si="403"/>
        <v/>
      </c>
      <c r="BG236" s="554" t="str">
        <f t="shared" si="411"/>
        <v/>
      </c>
      <c r="BH236" s="552" t="str">
        <f t="shared" si="412"/>
        <v/>
      </c>
      <c r="BI236" s="554" t="str">
        <f t="shared" si="413"/>
        <v/>
      </c>
      <c r="BJ236" s="554" t="str">
        <f t="shared" si="414"/>
        <v/>
      </c>
      <c r="BK236" s="552" t="str">
        <f t="shared" si="415"/>
        <v/>
      </c>
      <c r="BL236" s="554" t="str">
        <f t="shared" si="416"/>
        <v/>
      </c>
      <c r="BM236" s="554" t="str">
        <f t="shared" si="417"/>
        <v/>
      </c>
      <c r="BN236" s="552" t="str">
        <f t="shared" si="418"/>
        <v/>
      </c>
      <c r="BO236" s="554" t="str">
        <f t="shared" si="419"/>
        <v/>
      </c>
      <c r="BP236" s="554" t="str">
        <f t="shared" si="420"/>
        <v/>
      </c>
      <c r="BQ236" s="552" t="str">
        <f t="shared" si="421"/>
        <v/>
      </c>
      <c r="BR236" s="554"/>
      <c r="BS236" s="554"/>
      <c r="BT236" s="554"/>
      <c r="BU236" s="554"/>
      <c r="BV236" s="554"/>
      <c r="BW236" s="554"/>
      <c r="BX236" s="554"/>
      <c r="BY236" s="554"/>
      <c r="BZ236" s="554"/>
      <c r="CA236" s="554"/>
      <c r="CB236" s="554"/>
      <c r="CC236" s="554"/>
      <c r="CD236" s="554"/>
      <c r="CE236" s="554"/>
      <c r="CF236" s="554"/>
      <c r="CG236" s="554"/>
      <c r="CH236" s="554"/>
      <c r="CI236" s="554"/>
      <c r="CJ236" s="554"/>
      <c r="CK236" s="554"/>
      <c r="CL236" s="554"/>
      <c r="CM236" s="554"/>
      <c r="CN236" s="554"/>
      <c r="CO236" s="554"/>
      <c r="CP236" s="554"/>
      <c r="CQ236" s="554"/>
      <c r="CR236" s="554"/>
      <c r="CS236" s="554"/>
      <c r="CT236" s="554"/>
      <c r="CU236" s="554"/>
      <c r="CV236" s="554"/>
      <c r="CW236" s="554"/>
      <c r="CX236" s="554"/>
      <c r="CY236" s="554"/>
      <c r="CZ236" s="554"/>
      <c r="DA236" s="554"/>
      <c r="DB236" s="554"/>
      <c r="DC236" s="554"/>
      <c r="DD236" s="554"/>
      <c r="DE236" s="534"/>
      <c r="DF236" s="534"/>
      <c r="DG236" s="534"/>
    </row>
    <row r="237" spans="1:111" ht="15" x14ac:dyDescent="0.25">
      <c r="A237" s="549">
        <f>IFERROR(IF(INDEX('Weather Cases'!$E$10:$E$94,MATCH('Load Criteria'!X237,'Weather Cases'!$H$10:$H$94,0),1)=1,1,"-"),"-")</f>
        <v>1</v>
      </c>
      <c r="B237" s="555" t="s">
        <v>558</v>
      </c>
      <c r="C237" s="555" t="s">
        <v>559</v>
      </c>
      <c r="D237" s="555" t="s">
        <v>579</v>
      </c>
      <c r="E237" s="555">
        <v>1</v>
      </c>
      <c r="F237" s="555" t="s">
        <v>580</v>
      </c>
      <c r="G237" s="556" t="str">
        <f>IFERROR(IF(MID('Load Criteria'!X237,FIND("_",'Load Criteria'!X237,1)+1,1)=LEFT(Control!$D$23,1),"YES","-"),"-")</f>
        <v>-</v>
      </c>
      <c r="H237" s="549" t="s">
        <v>22</v>
      </c>
      <c r="I237" s="557" t="s">
        <v>327</v>
      </c>
      <c r="J237" s="550">
        <f>Control!$D$25</f>
        <v>1</v>
      </c>
      <c r="K237" s="508" t="s">
        <v>571</v>
      </c>
      <c r="L237" s="508" t="s">
        <v>40</v>
      </c>
      <c r="M237" s="550">
        <v>7</v>
      </c>
      <c r="N237" s="550"/>
      <c r="O237" s="550"/>
      <c r="P237" s="392"/>
      <c r="Q237" s="392"/>
      <c r="R237" s="392"/>
      <c r="S237" s="392"/>
      <c r="T237" s="392"/>
      <c r="U237" s="255" t="s">
        <v>568</v>
      </c>
      <c r="V237" s="551"/>
      <c r="W237" s="542" t="str">
        <f t="shared" si="398"/>
        <v>RW0001_8+TB7 NA+</v>
      </c>
      <c r="X237" s="552" t="str">
        <f>I237&amp;TEXT(J237,"0000")&amp;"_"&amp;LEFT(Control!$D$22,LEN(Control!$D$22)-2)</f>
        <v>RW0001_8</v>
      </c>
      <c r="Y237" s="552" t="s">
        <v>433</v>
      </c>
      <c r="Z237" s="552" t="str">
        <f t="shared" si="404"/>
        <v>NA+</v>
      </c>
      <c r="AA237" s="552"/>
      <c r="AB237" s="552">
        <v>1</v>
      </c>
      <c r="AC237" s="552">
        <v>1</v>
      </c>
      <c r="AD237" s="552">
        <v>1</v>
      </c>
      <c r="AE237" s="552">
        <v>1</v>
      </c>
      <c r="AF237" s="552">
        <v>1</v>
      </c>
      <c r="AG237" s="542" t="s">
        <v>561</v>
      </c>
      <c r="AH237" s="552">
        <v>0</v>
      </c>
      <c r="AI237" s="552">
        <v>0</v>
      </c>
      <c r="AJ237" s="552">
        <v>1</v>
      </c>
      <c r="AK237" s="552">
        <v>1</v>
      </c>
      <c r="AL237" s="552">
        <v>1</v>
      </c>
      <c r="AM237" s="552">
        <v>0</v>
      </c>
      <c r="AN237" s="552">
        <v>0</v>
      </c>
      <c r="AO237" s="552">
        <v>1</v>
      </c>
      <c r="AP237" s="552">
        <v>1</v>
      </c>
      <c r="AQ237" s="552">
        <v>1</v>
      </c>
      <c r="AR237" s="552">
        <v>1</v>
      </c>
      <c r="AS237" s="552">
        <v>1</v>
      </c>
      <c r="AT237" s="552">
        <v>1</v>
      </c>
      <c r="AU237" s="552">
        <v>1</v>
      </c>
      <c r="AV237" s="592" t="s">
        <v>1132</v>
      </c>
      <c r="AW237" s="552" t="s">
        <v>562</v>
      </c>
      <c r="AX237" s="552"/>
      <c r="AY237" s="552" t="str">
        <f t="shared" si="401"/>
        <v>Yes</v>
      </c>
      <c r="AZ237" s="554" t="str">
        <f t="shared" si="405"/>
        <v>7:1:Back</v>
      </c>
      <c r="BA237" s="554" t="str">
        <f t="shared" si="406"/>
        <v>Broken Wire (# Broken Subconductors)</v>
      </c>
      <c r="BB237" s="552">
        <f t="shared" si="407"/>
        <v>4</v>
      </c>
      <c r="BC237" s="554" t="str">
        <f t="shared" si="408"/>
        <v>17:1:Back</v>
      </c>
      <c r="BD237" s="554" t="str">
        <f t="shared" si="409"/>
        <v>Broken Wire (# Broken Subconductors)</v>
      </c>
      <c r="BE237" s="552">
        <f t="shared" si="410"/>
        <v>4</v>
      </c>
      <c r="BF237" s="554" t="str">
        <f t="shared" si="403"/>
        <v/>
      </c>
      <c r="BG237" s="554" t="str">
        <f t="shared" si="411"/>
        <v/>
      </c>
      <c r="BH237" s="552" t="str">
        <f t="shared" si="412"/>
        <v/>
      </c>
      <c r="BI237" s="554" t="str">
        <f t="shared" si="413"/>
        <v/>
      </c>
      <c r="BJ237" s="554" t="str">
        <f t="shared" si="414"/>
        <v/>
      </c>
      <c r="BK237" s="552" t="str">
        <f t="shared" si="415"/>
        <v/>
      </c>
      <c r="BL237" s="554" t="str">
        <f t="shared" si="416"/>
        <v/>
      </c>
      <c r="BM237" s="554" t="str">
        <f t="shared" si="417"/>
        <v/>
      </c>
      <c r="BN237" s="552" t="str">
        <f t="shared" si="418"/>
        <v/>
      </c>
      <c r="BO237" s="554" t="str">
        <f t="shared" si="419"/>
        <v/>
      </c>
      <c r="BP237" s="554" t="str">
        <f t="shared" si="420"/>
        <v/>
      </c>
      <c r="BQ237" s="552" t="str">
        <f t="shared" si="421"/>
        <v/>
      </c>
      <c r="BR237" s="554"/>
      <c r="BS237" s="554"/>
      <c r="BT237" s="554"/>
      <c r="BU237" s="554"/>
      <c r="BV237" s="554"/>
      <c r="BW237" s="554"/>
      <c r="BX237" s="554"/>
      <c r="BY237" s="554"/>
      <c r="BZ237" s="554"/>
      <c r="CA237" s="554"/>
      <c r="CB237" s="554"/>
      <c r="CC237" s="554"/>
      <c r="CD237" s="554"/>
      <c r="CE237" s="554"/>
      <c r="CF237" s="554"/>
      <c r="CG237" s="554"/>
      <c r="CH237" s="554"/>
      <c r="CI237" s="554"/>
      <c r="CJ237" s="554"/>
      <c r="CK237" s="554"/>
      <c r="CL237" s="554"/>
      <c r="CM237" s="554"/>
      <c r="CN237" s="554"/>
      <c r="CO237" s="554"/>
      <c r="CP237" s="554"/>
      <c r="CQ237" s="554"/>
      <c r="CR237" s="554"/>
      <c r="CS237" s="554"/>
      <c r="CT237" s="554"/>
      <c r="CU237" s="554"/>
      <c r="CV237" s="554"/>
      <c r="CW237" s="554"/>
      <c r="CX237" s="554"/>
      <c r="CY237" s="554"/>
      <c r="CZ237" s="554"/>
      <c r="DA237" s="554"/>
      <c r="DB237" s="554"/>
      <c r="DC237" s="554"/>
      <c r="DD237" s="554"/>
      <c r="DE237" s="534"/>
      <c r="DF237" s="534"/>
      <c r="DG237" s="534"/>
    </row>
    <row r="238" spans="1:111" ht="15" x14ac:dyDescent="0.25">
      <c r="A238" s="549">
        <f>IFERROR(IF(INDEX('Weather Cases'!$E$10:$E$94,MATCH('Load Criteria'!X238,'Weather Cases'!$H$10:$H$94,0),1)=1,1,"-"),"-")</f>
        <v>1</v>
      </c>
      <c r="B238" s="555" t="s">
        <v>558</v>
      </c>
      <c r="C238" s="555" t="s">
        <v>559</v>
      </c>
      <c r="D238" s="555" t="s">
        <v>579</v>
      </c>
      <c r="E238" s="555">
        <v>1</v>
      </c>
      <c r="F238" s="555" t="s">
        <v>581</v>
      </c>
      <c r="G238" s="556" t="str">
        <f>IFERROR(IF(MID('Load Criteria'!X238,FIND("_",'Load Criteria'!X238,1)+1,1)=LEFT(Control!$D$23,1),"YES","-"),"-")</f>
        <v>-</v>
      </c>
      <c r="H238" s="549" t="s">
        <v>22</v>
      </c>
      <c r="I238" s="557" t="s">
        <v>327</v>
      </c>
      <c r="J238" s="550">
        <f>Control!$D$25</f>
        <v>1</v>
      </c>
      <c r="K238" s="508" t="s">
        <v>571</v>
      </c>
      <c r="L238" s="508" t="s">
        <v>24</v>
      </c>
      <c r="M238" s="550">
        <v>8</v>
      </c>
      <c r="N238" s="550"/>
      <c r="O238" s="550"/>
      <c r="P238" s="392"/>
      <c r="Q238" s="392"/>
      <c r="R238" s="392"/>
      <c r="S238" s="392"/>
      <c r="T238" s="392"/>
      <c r="U238" s="255" t="s">
        <v>568</v>
      </c>
      <c r="V238" s="551"/>
      <c r="W238" s="542" t="str">
        <f t="shared" si="398"/>
        <v>RW0001_8+TA8 NA+</v>
      </c>
      <c r="X238" s="552" t="str">
        <f>I238&amp;TEXT(J238,"0000")&amp;"_"&amp;LEFT(Control!$D$22,LEN(Control!$D$22)-2)</f>
        <v>RW0001_8</v>
      </c>
      <c r="Y238" s="552" t="s">
        <v>433</v>
      </c>
      <c r="Z238" s="552" t="str">
        <f t="shared" si="404"/>
        <v>NA+</v>
      </c>
      <c r="AA238" s="552"/>
      <c r="AB238" s="552">
        <v>1</v>
      </c>
      <c r="AC238" s="552">
        <v>1</v>
      </c>
      <c r="AD238" s="552">
        <v>1</v>
      </c>
      <c r="AE238" s="552">
        <v>1</v>
      </c>
      <c r="AF238" s="552">
        <v>1</v>
      </c>
      <c r="AG238" s="542" t="s">
        <v>561</v>
      </c>
      <c r="AH238" s="552">
        <v>0</v>
      </c>
      <c r="AI238" s="552">
        <v>0</v>
      </c>
      <c r="AJ238" s="552">
        <v>1</v>
      </c>
      <c r="AK238" s="552">
        <v>1</v>
      </c>
      <c r="AL238" s="552">
        <v>1</v>
      </c>
      <c r="AM238" s="552">
        <v>0</v>
      </c>
      <c r="AN238" s="552">
        <v>0</v>
      </c>
      <c r="AO238" s="552">
        <v>1</v>
      </c>
      <c r="AP238" s="552">
        <v>1</v>
      </c>
      <c r="AQ238" s="552">
        <v>1</v>
      </c>
      <c r="AR238" s="552">
        <v>1</v>
      </c>
      <c r="AS238" s="552">
        <v>1</v>
      </c>
      <c r="AT238" s="552">
        <v>1</v>
      </c>
      <c r="AU238" s="552">
        <v>1</v>
      </c>
      <c r="AV238" s="592" t="s">
        <v>1132</v>
      </c>
      <c r="AW238" s="552" t="s">
        <v>562</v>
      </c>
      <c r="AX238" s="552"/>
      <c r="AY238" s="552" t="str">
        <f t="shared" si="401"/>
        <v>Yes</v>
      </c>
      <c r="AZ238" s="554" t="str">
        <f t="shared" si="405"/>
        <v>8:1:Ahead</v>
      </c>
      <c r="BA238" s="554" t="str">
        <f t="shared" si="406"/>
        <v>Broken Wire (# Broken Subconductors)</v>
      </c>
      <c r="BB238" s="552">
        <f t="shared" si="407"/>
        <v>4</v>
      </c>
      <c r="BC238" s="554" t="str">
        <f t="shared" si="408"/>
        <v>18:1:Ahead</v>
      </c>
      <c r="BD238" s="554" t="str">
        <f t="shared" si="409"/>
        <v>Broken Wire (# Broken Subconductors)</v>
      </c>
      <c r="BE238" s="552">
        <f t="shared" si="410"/>
        <v>4</v>
      </c>
      <c r="BF238" s="554" t="str">
        <f t="shared" si="403"/>
        <v/>
      </c>
      <c r="BG238" s="554" t="str">
        <f t="shared" si="411"/>
        <v/>
      </c>
      <c r="BH238" s="552" t="str">
        <f t="shared" si="412"/>
        <v/>
      </c>
      <c r="BI238" s="554" t="str">
        <f t="shared" si="413"/>
        <v/>
      </c>
      <c r="BJ238" s="554" t="str">
        <f t="shared" si="414"/>
        <v/>
      </c>
      <c r="BK238" s="552" t="str">
        <f t="shared" si="415"/>
        <v/>
      </c>
      <c r="BL238" s="554" t="str">
        <f t="shared" si="416"/>
        <v/>
      </c>
      <c r="BM238" s="554" t="str">
        <f t="shared" si="417"/>
        <v/>
      </c>
      <c r="BN238" s="552" t="str">
        <f t="shared" si="418"/>
        <v/>
      </c>
      <c r="BO238" s="554" t="str">
        <f t="shared" si="419"/>
        <v/>
      </c>
      <c r="BP238" s="554" t="str">
        <f t="shared" si="420"/>
        <v/>
      </c>
      <c r="BQ238" s="552" t="str">
        <f t="shared" si="421"/>
        <v/>
      </c>
      <c r="BR238" s="554"/>
      <c r="BS238" s="554"/>
      <c r="BT238" s="554"/>
      <c r="BU238" s="554"/>
      <c r="BV238" s="554"/>
      <c r="BW238" s="554"/>
      <c r="BX238" s="554"/>
      <c r="BY238" s="554"/>
      <c r="BZ238" s="554"/>
      <c r="CA238" s="554"/>
      <c r="CB238" s="554"/>
      <c r="CC238" s="554"/>
      <c r="CD238" s="554"/>
      <c r="CE238" s="554"/>
      <c r="CF238" s="554"/>
      <c r="CG238" s="554"/>
      <c r="CH238" s="554"/>
      <c r="CI238" s="554"/>
      <c r="CJ238" s="554"/>
      <c r="CK238" s="554"/>
      <c r="CL238" s="554"/>
      <c r="CM238" s="554"/>
      <c r="CN238" s="554"/>
      <c r="CO238" s="554"/>
      <c r="CP238" s="554"/>
      <c r="CQ238" s="554"/>
      <c r="CR238" s="554"/>
      <c r="CS238" s="554"/>
      <c r="CT238" s="554"/>
      <c r="CU238" s="554"/>
      <c r="CV238" s="554"/>
      <c r="CW238" s="554"/>
      <c r="CX238" s="554"/>
      <c r="CY238" s="554"/>
      <c r="CZ238" s="554"/>
      <c r="DA238" s="554"/>
      <c r="DB238" s="554"/>
      <c r="DC238" s="554"/>
      <c r="DD238" s="554"/>
      <c r="DE238" s="534"/>
      <c r="DF238" s="534"/>
      <c r="DG238" s="534"/>
    </row>
    <row r="239" spans="1:111" ht="15" x14ac:dyDescent="0.25">
      <c r="A239" s="549">
        <f>IFERROR(IF(INDEX('Weather Cases'!$E$10:$E$94,MATCH('Load Criteria'!X239,'Weather Cases'!$H$10:$H$94,0),1)=1,1,"-"),"-")</f>
        <v>1</v>
      </c>
      <c r="B239" s="555" t="s">
        <v>558</v>
      </c>
      <c r="C239" s="555" t="s">
        <v>559</v>
      </c>
      <c r="D239" s="555" t="s">
        <v>579</v>
      </c>
      <c r="E239" s="555">
        <v>1</v>
      </c>
      <c r="F239" s="555" t="s">
        <v>581</v>
      </c>
      <c r="G239" s="556" t="str">
        <f>IFERROR(IF(MID('Load Criteria'!X239,FIND("_",'Load Criteria'!X239,1)+1,1)=LEFT(Control!$D$23,1),"YES","-"),"-")</f>
        <v>-</v>
      </c>
      <c r="H239" s="549" t="s">
        <v>22</v>
      </c>
      <c r="I239" s="557" t="s">
        <v>327</v>
      </c>
      <c r="J239" s="550">
        <f>Control!$D$25</f>
        <v>1</v>
      </c>
      <c r="K239" s="508" t="s">
        <v>571</v>
      </c>
      <c r="L239" s="508" t="s">
        <v>40</v>
      </c>
      <c r="M239" s="550">
        <v>8</v>
      </c>
      <c r="N239" s="550"/>
      <c r="O239" s="550"/>
      <c r="P239" s="392"/>
      <c r="Q239" s="392"/>
      <c r="R239" s="392"/>
      <c r="S239" s="392"/>
      <c r="T239" s="392"/>
      <c r="U239" s="255" t="s">
        <v>568</v>
      </c>
      <c r="V239" s="551"/>
      <c r="W239" s="542" t="str">
        <f t="shared" si="398"/>
        <v>RW0001_8+TB8 NA+</v>
      </c>
      <c r="X239" s="552" t="str">
        <f>I239&amp;TEXT(J239,"0000")&amp;"_"&amp;LEFT(Control!$D$22,LEN(Control!$D$22)-2)</f>
        <v>RW0001_8</v>
      </c>
      <c r="Y239" s="552" t="s">
        <v>433</v>
      </c>
      <c r="Z239" s="552" t="str">
        <f t="shared" si="404"/>
        <v>NA+</v>
      </c>
      <c r="AA239" s="552"/>
      <c r="AB239" s="552">
        <v>1</v>
      </c>
      <c r="AC239" s="552">
        <v>1</v>
      </c>
      <c r="AD239" s="552">
        <v>1</v>
      </c>
      <c r="AE239" s="552">
        <v>1</v>
      </c>
      <c r="AF239" s="552">
        <v>1</v>
      </c>
      <c r="AG239" s="542" t="s">
        <v>561</v>
      </c>
      <c r="AH239" s="552">
        <v>0</v>
      </c>
      <c r="AI239" s="552">
        <v>0</v>
      </c>
      <c r="AJ239" s="552">
        <v>1</v>
      </c>
      <c r="AK239" s="552">
        <v>1</v>
      </c>
      <c r="AL239" s="552">
        <v>1</v>
      </c>
      <c r="AM239" s="552">
        <v>0</v>
      </c>
      <c r="AN239" s="552">
        <v>0</v>
      </c>
      <c r="AO239" s="552">
        <v>1</v>
      </c>
      <c r="AP239" s="552">
        <v>1</v>
      </c>
      <c r="AQ239" s="552">
        <v>1</v>
      </c>
      <c r="AR239" s="552">
        <v>1</v>
      </c>
      <c r="AS239" s="552">
        <v>1</v>
      </c>
      <c r="AT239" s="552">
        <v>1</v>
      </c>
      <c r="AU239" s="552">
        <v>1</v>
      </c>
      <c r="AV239" s="592" t="s">
        <v>1132</v>
      </c>
      <c r="AW239" s="552" t="s">
        <v>562</v>
      </c>
      <c r="AX239" s="552"/>
      <c r="AY239" s="552" t="str">
        <f t="shared" si="401"/>
        <v>Yes</v>
      </c>
      <c r="AZ239" s="554" t="str">
        <f t="shared" si="405"/>
        <v>8:1:Back</v>
      </c>
      <c r="BA239" s="554" t="str">
        <f t="shared" si="406"/>
        <v>Broken Wire (# Broken Subconductors)</v>
      </c>
      <c r="BB239" s="552">
        <f t="shared" si="407"/>
        <v>4</v>
      </c>
      <c r="BC239" s="554" t="str">
        <f t="shared" si="408"/>
        <v>18:1:Back</v>
      </c>
      <c r="BD239" s="554" t="str">
        <f t="shared" si="409"/>
        <v>Broken Wire (# Broken Subconductors)</v>
      </c>
      <c r="BE239" s="552">
        <f t="shared" si="410"/>
        <v>4</v>
      </c>
      <c r="BF239" s="554" t="str">
        <f t="shared" si="403"/>
        <v/>
      </c>
      <c r="BG239" s="554" t="str">
        <f t="shared" si="411"/>
        <v/>
      </c>
      <c r="BH239" s="552" t="str">
        <f t="shared" si="412"/>
        <v/>
      </c>
      <c r="BI239" s="554" t="str">
        <f t="shared" si="413"/>
        <v/>
      </c>
      <c r="BJ239" s="554" t="str">
        <f t="shared" si="414"/>
        <v/>
      </c>
      <c r="BK239" s="552" t="str">
        <f t="shared" si="415"/>
        <v/>
      </c>
      <c r="BL239" s="554" t="str">
        <f t="shared" si="416"/>
        <v/>
      </c>
      <c r="BM239" s="554" t="str">
        <f t="shared" si="417"/>
        <v/>
      </c>
      <c r="BN239" s="552" t="str">
        <f t="shared" si="418"/>
        <v/>
      </c>
      <c r="BO239" s="554" t="str">
        <f t="shared" si="419"/>
        <v/>
      </c>
      <c r="BP239" s="554" t="str">
        <f t="shared" si="420"/>
        <v/>
      </c>
      <c r="BQ239" s="552" t="str">
        <f t="shared" si="421"/>
        <v/>
      </c>
      <c r="BR239" s="554"/>
      <c r="BS239" s="554"/>
      <c r="BT239" s="554"/>
      <c r="BU239" s="554"/>
      <c r="BV239" s="554"/>
      <c r="BW239" s="554"/>
      <c r="BX239" s="554"/>
      <c r="BY239" s="554"/>
      <c r="BZ239" s="554"/>
      <c r="CA239" s="554"/>
      <c r="CB239" s="554"/>
      <c r="CC239" s="554"/>
      <c r="CD239" s="554"/>
      <c r="CE239" s="554"/>
      <c r="CF239" s="554"/>
      <c r="CG239" s="554"/>
      <c r="CH239" s="554"/>
      <c r="CI239" s="554"/>
      <c r="CJ239" s="554"/>
      <c r="CK239" s="554"/>
      <c r="CL239" s="554"/>
      <c r="CM239" s="554"/>
      <c r="CN239" s="554"/>
      <c r="CO239" s="554"/>
      <c r="CP239" s="554"/>
      <c r="CQ239" s="554"/>
      <c r="CR239" s="554"/>
      <c r="CS239" s="554"/>
      <c r="CT239" s="554"/>
      <c r="CU239" s="554"/>
      <c r="CV239" s="554"/>
      <c r="CW239" s="554"/>
      <c r="CX239" s="554"/>
      <c r="CY239" s="554"/>
      <c r="CZ239" s="554"/>
      <c r="DA239" s="554"/>
      <c r="DB239" s="554"/>
      <c r="DC239" s="554"/>
      <c r="DD239" s="554"/>
      <c r="DE239" s="534"/>
      <c r="DF239" s="534"/>
      <c r="DG239" s="534"/>
    </row>
    <row r="240" spans="1:111" ht="15" x14ac:dyDescent="0.25">
      <c r="A240" s="549">
        <f>IFERROR(IF(INDEX('Weather Cases'!$E$10:$E$94,MATCH('Load Criteria'!X240,'Weather Cases'!$H$10:$H$94,0),1)=1,1,"-"),"-")</f>
        <v>1</v>
      </c>
      <c r="B240" s="555" t="s">
        <v>558</v>
      </c>
      <c r="C240" s="555" t="s">
        <v>559</v>
      </c>
      <c r="D240" s="555" t="s">
        <v>579</v>
      </c>
      <c r="E240" s="555">
        <v>1</v>
      </c>
      <c r="F240" s="556" t="s">
        <v>22</v>
      </c>
      <c r="G240" s="556" t="str">
        <f>IFERROR(IF(MID('Load Criteria'!X240,FIND("_",'Load Criteria'!X240,1)+1,1)=LEFT(Control!$D$23,1),"YES","-"),"-")</f>
        <v>-</v>
      </c>
      <c r="H240" s="549" t="s">
        <v>22</v>
      </c>
      <c r="I240" s="557" t="s">
        <v>327</v>
      </c>
      <c r="J240" s="550">
        <f>Control!$D$25</f>
        <v>1</v>
      </c>
      <c r="K240" s="508" t="s">
        <v>571</v>
      </c>
      <c r="L240" s="508" t="s">
        <v>24</v>
      </c>
      <c r="M240" s="508">
        <v>1</v>
      </c>
      <c r="N240" s="550"/>
      <c r="O240" s="550"/>
      <c r="P240" s="392"/>
      <c r="Q240" s="392"/>
      <c r="R240" s="392"/>
      <c r="S240" s="392"/>
      <c r="T240" s="392"/>
      <c r="U240" s="255" t="s">
        <v>574</v>
      </c>
      <c r="V240" s="551"/>
      <c r="W240" s="542" t="str">
        <f t="shared" si="398"/>
        <v>RW0001_8+TA1 NA-</v>
      </c>
      <c r="X240" s="552" t="str">
        <f>I240&amp;TEXT(J240,"0000")&amp;"_"&amp;LEFT(Control!$D$22,LEN(Control!$D$22)-2)</f>
        <v>RW0001_8</v>
      </c>
      <c r="Y240" s="552" t="s">
        <v>433</v>
      </c>
      <c r="Z240" s="552" t="str">
        <f t="shared" si="404"/>
        <v>NA-</v>
      </c>
      <c r="AA240" s="552"/>
      <c r="AB240" s="552">
        <v>1</v>
      </c>
      <c r="AC240" s="552">
        <v>1</v>
      </c>
      <c r="AD240" s="552">
        <v>1</v>
      </c>
      <c r="AE240" s="552">
        <v>1</v>
      </c>
      <c r="AF240" s="552">
        <v>1</v>
      </c>
      <c r="AG240" s="542" t="s">
        <v>561</v>
      </c>
      <c r="AH240" s="552">
        <v>0</v>
      </c>
      <c r="AI240" s="552">
        <v>0</v>
      </c>
      <c r="AJ240" s="552">
        <v>1</v>
      </c>
      <c r="AK240" s="552">
        <v>1</v>
      </c>
      <c r="AL240" s="552">
        <v>1</v>
      </c>
      <c r="AM240" s="552">
        <v>0</v>
      </c>
      <c r="AN240" s="552">
        <v>0</v>
      </c>
      <c r="AO240" s="552">
        <v>1</v>
      </c>
      <c r="AP240" s="552">
        <v>1</v>
      </c>
      <c r="AQ240" s="552">
        <v>1</v>
      </c>
      <c r="AR240" s="552">
        <v>1</v>
      </c>
      <c r="AS240" s="552">
        <v>1</v>
      </c>
      <c r="AT240" s="552">
        <v>1</v>
      </c>
      <c r="AU240" s="552">
        <v>1</v>
      </c>
      <c r="AV240" s="592" t="s">
        <v>1132</v>
      </c>
      <c r="AW240" s="552" t="s">
        <v>562</v>
      </c>
      <c r="AX240" s="552"/>
      <c r="AY240" s="552" t="str">
        <f t="shared" si="401"/>
        <v>Yes</v>
      </c>
      <c r="AZ240" s="554" t="str">
        <f t="shared" si="405"/>
        <v>1:1:Ahead</v>
      </c>
      <c r="BA240" s="554" t="str">
        <f t="shared" si="406"/>
        <v>Broken Wire (# Broken Subconductors)</v>
      </c>
      <c r="BB240" s="552">
        <f t="shared" si="407"/>
        <v>4</v>
      </c>
      <c r="BC240" s="554" t="str">
        <f t="shared" si="408"/>
        <v>11:1:Ahead</v>
      </c>
      <c r="BD240" s="554" t="str">
        <f t="shared" si="409"/>
        <v>Broken Wire (# Broken Subconductors)</v>
      </c>
      <c r="BE240" s="552">
        <f t="shared" si="410"/>
        <v>4</v>
      </c>
      <c r="BF240" s="554" t="str">
        <f t="shared" si="403"/>
        <v/>
      </c>
      <c r="BG240" s="554" t="str">
        <f t="shared" si="411"/>
        <v/>
      </c>
      <c r="BH240" s="552" t="str">
        <f t="shared" si="412"/>
        <v/>
      </c>
      <c r="BI240" s="554" t="str">
        <f t="shared" si="413"/>
        <v/>
      </c>
      <c r="BJ240" s="554" t="str">
        <f t="shared" si="414"/>
        <v/>
      </c>
      <c r="BK240" s="552" t="str">
        <f t="shared" si="415"/>
        <v/>
      </c>
      <c r="BL240" s="554" t="str">
        <f t="shared" si="416"/>
        <v/>
      </c>
      <c r="BM240" s="554" t="str">
        <f t="shared" si="417"/>
        <v/>
      </c>
      <c r="BN240" s="552" t="str">
        <f t="shared" si="418"/>
        <v/>
      </c>
      <c r="BO240" s="554" t="str">
        <f t="shared" si="419"/>
        <v/>
      </c>
      <c r="BP240" s="554" t="str">
        <f t="shared" si="420"/>
        <v/>
      </c>
      <c r="BQ240" s="552" t="str">
        <f t="shared" si="421"/>
        <v/>
      </c>
      <c r="BR240" s="554"/>
      <c r="BS240" s="554"/>
      <c r="BT240" s="554"/>
      <c r="BU240" s="554"/>
      <c r="BV240" s="554"/>
      <c r="BW240" s="554"/>
      <c r="BX240" s="554"/>
      <c r="BY240" s="554"/>
      <c r="BZ240" s="554"/>
      <c r="CA240" s="554"/>
      <c r="CB240" s="554"/>
      <c r="CC240" s="554"/>
      <c r="CD240" s="554"/>
      <c r="CE240" s="554"/>
      <c r="CF240" s="554"/>
      <c r="CG240" s="554"/>
      <c r="CH240" s="554"/>
      <c r="CI240" s="554"/>
      <c r="CJ240" s="554"/>
      <c r="CK240" s="554"/>
      <c r="CL240" s="554"/>
      <c r="CM240" s="554"/>
      <c r="CN240" s="554"/>
      <c r="CO240" s="554"/>
      <c r="CP240" s="554"/>
      <c r="CQ240" s="554"/>
      <c r="CR240" s="554"/>
      <c r="CS240" s="554"/>
      <c r="CT240" s="554"/>
      <c r="CU240" s="554"/>
      <c r="CV240" s="554"/>
      <c r="CW240" s="554"/>
      <c r="CX240" s="554"/>
      <c r="CY240" s="554"/>
      <c r="CZ240" s="554"/>
      <c r="DA240" s="554"/>
      <c r="DB240" s="554"/>
      <c r="DC240" s="554"/>
      <c r="DD240" s="554"/>
      <c r="DE240" s="534"/>
      <c r="DF240" s="534"/>
      <c r="DG240" s="534"/>
    </row>
    <row r="241" spans="1:111" ht="15" x14ac:dyDescent="0.25">
      <c r="A241" s="549">
        <f>IFERROR(IF(INDEX('Weather Cases'!$E$10:$E$94,MATCH('Load Criteria'!X241,'Weather Cases'!$H$10:$H$94,0),1)=1,1,"-"),"-")</f>
        <v>1</v>
      </c>
      <c r="B241" s="555" t="s">
        <v>558</v>
      </c>
      <c r="C241" s="555" t="s">
        <v>559</v>
      </c>
      <c r="D241" s="555" t="s">
        <v>579</v>
      </c>
      <c r="E241" s="555">
        <v>1</v>
      </c>
      <c r="F241" s="556" t="s">
        <v>22</v>
      </c>
      <c r="G241" s="556" t="str">
        <f>IFERROR(IF(MID('Load Criteria'!X241,FIND("_",'Load Criteria'!X241,1)+1,1)=LEFT(Control!$D$23,1),"YES","-"),"-")</f>
        <v>-</v>
      </c>
      <c r="H241" s="549" t="s">
        <v>22</v>
      </c>
      <c r="I241" s="557" t="s">
        <v>327</v>
      </c>
      <c r="J241" s="550">
        <f>Control!$D$25</f>
        <v>1</v>
      </c>
      <c r="K241" s="508" t="s">
        <v>571</v>
      </c>
      <c r="L241" s="508" t="s">
        <v>40</v>
      </c>
      <c r="M241" s="508">
        <v>1</v>
      </c>
      <c r="N241" s="550"/>
      <c r="O241" s="550"/>
      <c r="P241" s="392"/>
      <c r="Q241" s="392"/>
      <c r="R241" s="392"/>
      <c r="S241" s="392"/>
      <c r="T241" s="392"/>
      <c r="U241" s="255" t="s">
        <v>574</v>
      </c>
      <c r="V241" s="551"/>
      <c r="W241" s="542" t="str">
        <f t="shared" si="398"/>
        <v>RW0001_8+TB1 NA-</v>
      </c>
      <c r="X241" s="552" t="str">
        <f>I241&amp;TEXT(J241,"0000")&amp;"_"&amp;LEFT(Control!$D$22,LEN(Control!$D$22)-2)</f>
        <v>RW0001_8</v>
      </c>
      <c r="Y241" s="552" t="s">
        <v>433</v>
      </c>
      <c r="Z241" s="552" t="str">
        <f t="shared" si="404"/>
        <v>NA-</v>
      </c>
      <c r="AA241" s="552"/>
      <c r="AB241" s="552">
        <v>1</v>
      </c>
      <c r="AC241" s="552">
        <v>1</v>
      </c>
      <c r="AD241" s="552">
        <v>1</v>
      </c>
      <c r="AE241" s="552">
        <v>1</v>
      </c>
      <c r="AF241" s="552">
        <v>1</v>
      </c>
      <c r="AG241" s="542" t="s">
        <v>561</v>
      </c>
      <c r="AH241" s="552">
        <v>0</v>
      </c>
      <c r="AI241" s="552">
        <v>0</v>
      </c>
      <c r="AJ241" s="552">
        <v>1</v>
      </c>
      <c r="AK241" s="552">
        <v>1</v>
      </c>
      <c r="AL241" s="552">
        <v>1</v>
      </c>
      <c r="AM241" s="552">
        <v>0</v>
      </c>
      <c r="AN241" s="552">
        <v>0</v>
      </c>
      <c r="AO241" s="552">
        <v>1</v>
      </c>
      <c r="AP241" s="552">
        <v>1</v>
      </c>
      <c r="AQ241" s="552">
        <v>1</v>
      </c>
      <c r="AR241" s="552">
        <v>1</v>
      </c>
      <c r="AS241" s="552">
        <v>1</v>
      </c>
      <c r="AT241" s="552">
        <v>1</v>
      </c>
      <c r="AU241" s="552">
        <v>1</v>
      </c>
      <c r="AV241" s="592" t="s">
        <v>1132</v>
      </c>
      <c r="AW241" s="552" t="s">
        <v>562</v>
      </c>
      <c r="AX241" s="552"/>
      <c r="AY241" s="552" t="str">
        <f t="shared" si="401"/>
        <v>Yes</v>
      </c>
      <c r="AZ241" s="554" t="str">
        <f t="shared" si="405"/>
        <v>1:1:Back</v>
      </c>
      <c r="BA241" s="554" t="str">
        <f t="shared" si="406"/>
        <v>Broken Wire (# Broken Subconductors)</v>
      </c>
      <c r="BB241" s="552">
        <f t="shared" si="407"/>
        <v>4</v>
      </c>
      <c r="BC241" s="554" t="str">
        <f t="shared" si="408"/>
        <v>11:1:Back</v>
      </c>
      <c r="BD241" s="554" t="str">
        <f t="shared" si="409"/>
        <v>Broken Wire (# Broken Subconductors)</v>
      </c>
      <c r="BE241" s="552">
        <f t="shared" si="410"/>
        <v>4</v>
      </c>
      <c r="BF241" s="554" t="str">
        <f t="shared" si="403"/>
        <v/>
      </c>
      <c r="BG241" s="554" t="str">
        <f t="shared" si="411"/>
        <v/>
      </c>
      <c r="BH241" s="552" t="str">
        <f t="shared" si="412"/>
        <v/>
      </c>
      <c r="BI241" s="554" t="str">
        <f t="shared" si="413"/>
        <v/>
      </c>
      <c r="BJ241" s="554" t="str">
        <f t="shared" si="414"/>
        <v/>
      </c>
      <c r="BK241" s="552" t="str">
        <f t="shared" si="415"/>
        <v/>
      </c>
      <c r="BL241" s="554" t="str">
        <f t="shared" si="416"/>
        <v/>
      </c>
      <c r="BM241" s="554" t="str">
        <f t="shared" si="417"/>
        <v/>
      </c>
      <c r="BN241" s="552" t="str">
        <f t="shared" si="418"/>
        <v/>
      </c>
      <c r="BO241" s="554" t="str">
        <f t="shared" si="419"/>
        <v/>
      </c>
      <c r="BP241" s="554" t="str">
        <f t="shared" si="420"/>
        <v/>
      </c>
      <c r="BQ241" s="552" t="str">
        <f t="shared" si="421"/>
        <v/>
      </c>
      <c r="BR241" s="554"/>
      <c r="BS241" s="554"/>
      <c r="BT241" s="554"/>
      <c r="BU241" s="554"/>
      <c r="BV241" s="554"/>
      <c r="BW241" s="554"/>
      <c r="BX241" s="554"/>
      <c r="BY241" s="554"/>
      <c r="BZ241" s="554"/>
      <c r="CA241" s="554"/>
      <c r="CB241" s="554"/>
      <c r="CC241" s="554"/>
      <c r="CD241" s="554"/>
      <c r="CE241" s="554"/>
      <c r="CF241" s="554"/>
      <c r="CG241" s="554"/>
      <c r="CH241" s="554"/>
      <c r="CI241" s="554"/>
      <c r="CJ241" s="554"/>
      <c r="CK241" s="554"/>
      <c r="CL241" s="554"/>
      <c r="CM241" s="554"/>
      <c r="CN241" s="554"/>
      <c r="CO241" s="554"/>
      <c r="CP241" s="554"/>
      <c r="CQ241" s="554"/>
      <c r="CR241" s="554"/>
      <c r="CS241" s="554"/>
      <c r="CT241" s="554"/>
      <c r="CU241" s="554"/>
      <c r="CV241" s="554"/>
      <c r="CW241" s="554"/>
      <c r="CX241" s="554"/>
      <c r="CY241" s="554"/>
      <c r="CZ241" s="554"/>
      <c r="DA241" s="554"/>
      <c r="DB241" s="554"/>
      <c r="DC241" s="554"/>
      <c r="DD241" s="554"/>
      <c r="DE241" s="534"/>
      <c r="DF241" s="534"/>
      <c r="DG241" s="534"/>
    </row>
    <row r="242" spans="1:111" ht="15" x14ac:dyDescent="0.25">
      <c r="A242" s="549">
        <f>IFERROR(IF(INDEX('Weather Cases'!$E$10:$E$94,MATCH('Load Criteria'!X242,'Weather Cases'!$H$10:$H$94,0),1)=1,1,"-"),"-")</f>
        <v>1</v>
      </c>
      <c r="B242" s="555" t="s">
        <v>558</v>
      </c>
      <c r="C242" s="555" t="s">
        <v>559</v>
      </c>
      <c r="D242" s="555" t="s">
        <v>579</v>
      </c>
      <c r="E242" s="555">
        <v>1</v>
      </c>
      <c r="F242" s="556" t="s">
        <v>22</v>
      </c>
      <c r="G242" s="556" t="str">
        <f>IFERROR(IF(MID('Load Criteria'!X242,FIND("_",'Load Criteria'!X242,1)+1,1)=LEFT(Control!$D$23,1),"YES","-"),"-")</f>
        <v>-</v>
      </c>
      <c r="H242" s="549" t="s">
        <v>22</v>
      </c>
      <c r="I242" s="557" t="s">
        <v>327</v>
      </c>
      <c r="J242" s="550">
        <f>Control!$D$25</f>
        <v>1</v>
      </c>
      <c r="K242" s="508" t="s">
        <v>571</v>
      </c>
      <c r="L242" s="508" t="s">
        <v>24</v>
      </c>
      <c r="M242" s="508">
        <v>2</v>
      </c>
      <c r="N242" s="550"/>
      <c r="O242" s="550"/>
      <c r="P242" s="392"/>
      <c r="Q242" s="392"/>
      <c r="R242" s="392"/>
      <c r="S242" s="392"/>
      <c r="T242" s="392"/>
      <c r="U242" s="255" t="s">
        <v>574</v>
      </c>
      <c r="V242" s="551"/>
      <c r="W242" s="542" t="str">
        <f t="shared" si="398"/>
        <v>RW0001_8+TA2 NA-</v>
      </c>
      <c r="X242" s="552" t="str">
        <f>I242&amp;TEXT(J242,"0000")&amp;"_"&amp;LEFT(Control!$D$22,LEN(Control!$D$22)-2)</f>
        <v>RW0001_8</v>
      </c>
      <c r="Y242" s="552" t="s">
        <v>433</v>
      </c>
      <c r="Z242" s="552" t="str">
        <f t="shared" si="404"/>
        <v>NA-</v>
      </c>
      <c r="AA242" s="552"/>
      <c r="AB242" s="552">
        <v>1</v>
      </c>
      <c r="AC242" s="552">
        <v>1</v>
      </c>
      <c r="AD242" s="552">
        <v>1</v>
      </c>
      <c r="AE242" s="552">
        <v>1</v>
      </c>
      <c r="AF242" s="552">
        <v>1</v>
      </c>
      <c r="AG242" s="542" t="s">
        <v>561</v>
      </c>
      <c r="AH242" s="552">
        <v>0</v>
      </c>
      <c r="AI242" s="552">
        <v>0</v>
      </c>
      <c r="AJ242" s="552">
        <v>1</v>
      </c>
      <c r="AK242" s="552">
        <v>1</v>
      </c>
      <c r="AL242" s="552">
        <v>1</v>
      </c>
      <c r="AM242" s="552">
        <v>0</v>
      </c>
      <c r="AN242" s="552">
        <v>0</v>
      </c>
      <c r="AO242" s="552">
        <v>1</v>
      </c>
      <c r="AP242" s="552">
        <v>1</v>
      </c>
      <c r="AQ242" s="552">
        <v>1</v>
      </c>
      <c r="AR242" s="552">
        <v>1</v>
      </c>
      <c r="AS242" s="552">
        <v>1</v>
      </c>
      <c r="AT242" s="552">
        <v>1</v>
      </c>
      <c r="AU242" s="552">
        <v>1</v>
      </c>
      <c r="AV242" s="592" t="s">
        <v>1132</v>
      </c>
      <c r="AW242" s="552" t="s">
        <v>562</v>
      </c>
      <c r="AX242" s="552"/>
      <c r="AY242" s="552" t="str">
        <f t="shared" si="401"/>
        <v>Yes</v>
      </c>
      <c r="AZ242" s="554" t="str">
        <f t="shared" si="405"/>
        <v>2:1:Ahead</v>
      </c>
      <c r="BA242" s="554" t="str">
        <f t="shared" si="406"/>
        <v>Broken Wire (# Broken Subconductors)</v>
      </c>
      <c r="BB242" s="552">
        <f t="shared" si="407"/>
        <v>4</v>
      </c>
      <c r="BC242" s="554" t="str">
        <f t="shared" si="408"/>
        <v>12:1:Ahead</v>
      </c>
      <c r="BD242" s="554" t="str">
        <f t="shared" si="409"/>
        <v>Broken Wire (# Broken Subconductors)</v>
      </c>
      <c r="BE242" s="552">
        <f t="shared" si="410"/>
        <v>4</v>
      </c>
      <c r="BF242" s="554" t="str">
        <f t="shared" si="403"/>
        <v/>
      </c>
      <c r="BG242" s="554" t="str">
        <f t="shared" si="411"/>
        <v/>
      </c>
      <c r="BH242" s="552" t="str">
        <f t="shared" si="412"/>
        <v/>
      </c>
      <c r="BI242" s="554" t="str">
        <f t="shared" si="413"/>
        <v/>
      </c>
      <c r="BJ242" s="554" t="str">
        <f t="shared" si="414"/>
        <v/>
      </c>
      <c r="BK242" s="552" t="str">
        <f t="shared" si="415"/>
        <v/>
      </c>
      <c r="BL242" s="554" t="str">
        <f t="shared" si="416"/>
        <v/>
      </c>
      <c r="BM242" s="554" t="str">
        <f t="shared" si="417"/>
        <v/>
      </c>
      <c r="BN242" s="552" t="str">
        <f t="shared" si="418"/>
        <v/>
      </c>
      <c r="BO242" s="554" t="str">
        <f t="shared" si="419"/>
        <v/>
      </c>
      <c r="BP242" s="554" t="str">
        <f t="shared" si="420"/>
        <v/>
      </c>
      <c r="BQ242" s="552" t="str">
        <f t="shared" si="421"/>
        <v/>
      </c>
      <c r="BR242" s="554"/>
      <c r="BS242" s="554"/>
      <c r="BT242" s="554"/>
      <c r="BU242" s="554"/>
      <c r="BV242" s="554"/>
      <c r="BW242" s="554"/>
      <c r="BX242" s="554"/>
      <c r="BY242" s="554"/>
      <c r="BZ242" s="554"/>
      <c r="CA242" s="554"/>
      <c r="CB242" s="554"/>
      <c r="CC242" s="554"/>
      <c r="CD242" s="554"/>
      <c r="CE242" s="554"/>
      <c r="CF242" s="554"/>
      <c r="CG242" s="554"/>
      <c r="CH242" s="554"/>
      <c r="CI242" s="554"/>
      <c r="CJ242" s="554"/>
      <c r="CK242" s="554"/>
      <c r="CL242" s="554"/>
      <c r="CM242" s="554"/>
      <c r="CN242" s="554"/>
      <c r="CO242" s="554"/>
      <c r="CP242" s="554"/>
      <c r="CQ242" s="554"/>
      <c r="CR242" s="554"/>
      <c r="CS242" s="554"/>
      <c r="CT242" s="554"/>
      <c r="CU242" s="554"/>
      <c r="CV242" s="554"/>
      <c r="CW242" s="554"/>
      <c r="CX242" s="554"/>
      <c r="CY242" s="554"/>
      <c r="CZ242" s="554"/>
      <c r="DA242" s="554"/>
      <c r="DB242" s="554"/>
      <c r="DC242" s="554"/>
      <c r="DD242" s="554"/>
      <c r="DE242" s="534"/>
      <c r="DF242" s="534"/>
      <c r="DG242" s="534"/>
    </row>
    <row r="243" spans="1:111" ht="15" x14ac:dyDescent="0.25">
      <c r="A243" s="549">
        <f>IFERROR(IF(INDEX('Weather Cases'!$E$10:$E$94,MATCH('Load Criteria'!X243,'Weather Cases'!$H$10:$H$94,0),1)=1,1,"-"),"-")</f>
        <v>1</v>
      </c>
      <c r="B243" s="555" t="s">
        <v>558</v>
      </c>
      <c r="C243" s="555" t="s">
        <v>559</v>
      </c>
      <c r="D243" s="555" t="s">
        <v>579</v>
      </c>
      <c r="E243" s="555">
        <v>1</v>
      </c>
      <c r="F243" s="556" t="s">
        <v>22</v>
      </c>
      <c r="G243" s="556" t="str">
        <f>IFERROR(IF(MID('Load Criteria'!X243,FIND("_",'Load Criteria'!X243,1)+1,1)=LEFT(Control!$D$23,1),"YES","-"),"-")</f>
        <v>-</v>
      </c>
      <c r="H243" s="549" t="s">
        <v>22</v>
      </c>
      <c r="I243" s="557" t="s">
        <v>327</v>
      </c>
      <c r="J243" s="550">
        <f>Control!$D$25</f>
        <v>1</v>
      </c>
      <c r="K243" s="508" t="s">
        <v>571</v>
      </c>
      <c r="L243" s="508" t="s">
        <v>40</v>
      </c>
      <c r="M243" s="508">
        <v>2</v>
      </c>
      <c r="N243" s="550"/>
      <c r="O243" s="550"/>
      <c r="P243" s="392"/>
      <c r="Q243" s="392"/>
      <c r="R243" s="392"/>
      <c r="S243" s="392"/>
      <c r="T243" s="392"/>
      <c r="U243" s="255" t="s">
        <v>574</v>
      </c>
      <c r="V243" s="551"/>
      <c r="W243" s="542" t="str">
        <f t="shared" si="398"/>
        <v>RW0001_8+TB2 NA-</v>
      </c>
      <c r="X243" s="552" t="str">
        <f>I243&amp;TEXT(J243,"0000")&amp;"_"&amp;LEFT(Control!$D$22,LEN(Control!$D$22)-2)</f>
        <v>RW0001_8</v>
      </c>
      <c r="Y243" s="552" t="s">
        <v>433</v>
      </c>
      <c r="Z243" s="552" t="str">
        <f t="shared" si="404"/>
        <v>NA-</v>
      </c>
      <c r="AA243" s="552"/>
      <c r="AB243" s="552">
        <v>1</v>
      </c>
      <c r="AC243" s="552">
        <v>1</v>
      </c>
      <c r="AD243" s="552">
        <v>1</v>
      </c>
      <c r="AE243" s="552">
        <v>1</v>
      </c>
      <c r="AF243" s="552">
        <v>1</v>
      </c>
      <c r="AG243" s="542" t="s">
        <v>561</v>
      </c>
      <c r="AH243" s="552">
        <v>0</v>
      </c>
      <c r="AI243" s="552">
        <v>0</v>
      </c>
      <c r="AJ243" s="552">
        <v>1</v>
      </c>
      <c r="AK243" s="552">
        <v>1</v>
      </c>
      <c r="AL243" s="552">
        <v>1</v>
      </c>
      <c r="AM243" s="552">
        <v>0</v>
      </c>
      <c r="AN243" s="552">
        <v>0</v>
      </c>
      <c r="AO243" s="552">
        <v>1</v>
      </c>
      <c r="AP243" s="552">
        <v>1</v>
      </c>
      <c r="AQ243" s="552">
        <v>1</v>
      </c>
      <c r="AR243" s="552">
        <v>1</v>
      </c>
      <c r="AS243" s="552">
        <v>1</v>
      </c>
      <c r="AT243" s="552">
        <v>1</v>
      </c>
      <c r="AU243" s="552">
        <v>1</v>
      </c>
      <c r="AV243" s="592" t="s">
        <v>1132</v>
      </c>
      <c r="AW243" s="552" t="s">
        <v>562</v>
      </c>
      <c r="AX243" s="552"/>
      <c r="AY243" s="552" t="str">
        <f t="shared" si="401"/>
        <v>Yes</v>
      </c>
      <c r="AZ243" s="554" t="str">
        <f t="shared" si="405"/>
        <v>2:1:Back</v>
      </c>
      <c r="BA243" s="554" t="str">
        <f t="shared" si="406"/>
        <v>Broken Wire (# Broken Subconductors)</v>
      </c>
      <c r="BB243" s="552">
        <f t="shared" si="407"/>
        <v>4</v>
      </c>
      <c r="BC243" s="554" t="str">
        <f t="shared" si="408"/>
        <v>12:1:Back</v>
      </c>
      <c r="BD243" s="554" t="str">
        <f t="shared" si="409"/>
        <v>Broken Wire (# Broken Subconductors)</v>
      </c>
      <c r="BE243" s="552">
        <f t="shared" si="410"/>
        <v>4</v>
      </c>
      <c r="BF243" s="554" t="str">
        <f t="shared" si="403"/>
        <v/>
      </c>
      <c r="BG243" s="554" t="str">
        <f t="shared" si="411"/>
        <v/>
      </c>
      <c r="BH243" s="552" t="str">
        <f t="shared" si="412"/>
        <v/>
      </c>
      <c r="BI243" s="554" t="str">
        <f t="shared" si="413"/>
        <v/>
      </c>
      <c r="BJ243" s="554" t="str">
        <f t="shared" si="414"/>
        <v/>
      </c>
      <c r="BK243" s="552" t="str">
        <f t="shared" si="415"/>
        <v/>
      </c>
      <c r="BL243" s="554" t="str">
        <f t="shared" si="416"/>
        <v/>
      </c>
      <c r="BM243" s="554" t="str">
        <f t="shared" si="417"/>
        <v/>
      </c>
      <c r="BN243" s="552" t="str">
        <f t="shared" si="418"/>
        <v/>
      </c>
      <c r="BO243" s="554" t="str">
        <f t="shared" si="419"/>
        <v/>
      </c>
      <c r="BP243" s="554" t="str">
        <f t="shared" si="420"/>
        <v/>
      </c>
      <c r="BQ243" s="552" t="str">
        <f t="shared" si="421"/>
        <v/>
      </c>
      <c r="BR243" s="554"/>
      <c r="BS243" s="554"/>
      <c r="BT243" s="554"/>
      <c r="BU243" s="554"/>
      <c r="BV243" s="554"/>
      <c r="BW243" s="554"/>
      <c r="BX243" s="554"/>
      <c r="BY243" s="554"/>
      <c r="BZ243" s="554"/>
      <c r="CA243" s="554"/>
      <c r="CB243" s="554"/>
      <c r="CC243" s="554"/>
      <c r="CD243" s="554"/>
      <c r="CE243" s="554"/>
      <c r="CF243" s="554"/>
      <c r="CG243" s="554"/>
      <c r="CH243" s="554"/>
      <c r="CI243" s="554"/>
      <c r="CJ243" s="554"/>
      <c r="CK243" s="554"/>
      <c r="CL243" s="554"/>
      <c r="CM243" s="554"/>
      <c r="CN243" s="554"/>
      <c r="CO243" s="554"/>
      <c r="CP243" s="554"/>
      <c r="CQ243" s="554"/>
      <c r="CR243" s="554"/>
      <c r="CS243" s="554"/>
      <c r="CT243" s="554"/>
      <c r="CU243" s="554"/>
      <c r="CV243" s="554"/>
      <c r="CW243" s="554"/>
      <c r="CX243" s="554"/>
      <c r="CY243" s="554"/>
      <c r="CZ243" s="554"/>
      <c r="DA243" s="554"/>
      <c r="DB243" s="554"/>
      <c r="DC243" s="554"/>
      <c r="DD243" s="554"/>
      <c r="DE243" s="534"/>
      <c r="DF243" s="534"/>
      <c r="DG243" s="534"/>
    </row>
    <row r="244" spans="1:111" ht="15" x14ac:dyDescent="0.25">
      <c r="A244" s="549">
        <f>IFERROR(IF(INDEX('Weather Cases'!$E$10:$E$94,MATCH('Load Criteria'!X244,'Weather Cases'!$H$10:$H$94,0),1)=1,1,"-"),"-")</f>
        <v>1</v>
      </c>
      <c r="B244" s="555" t="s">
        <v>558</v>
      </c>
      <c r="C244" s="555" t="s">
        <v>559</v>
      </c>
      <c r="D244" s="555" t="s">
        <v>579</v>
      </c>
      <c r="E244" s="555">
        <v>1</v>
      </c>
      <c r="F244" s="556" t="s">
        <v>22</v>
      </c>
      <c r="G244" s="556" t="str">
        <f>IFERROR(IF(MID('Load Criteria'!X244,FIND("_",'Load Criteria'!X244,1)+1,1)=LEFT(Control!$D$23,1),"YES","-"),"-")</f>
        <v>-</v>
      </c>
      <c r="H244" s="549" t="s">
        <v>22</v>
      </c>
      <c r="I244" s="557" t="s">
        <v>327</v>
      </c>
      <c r="J244" s="550">
        <f>Control!$D$25</f>
        <v>1</v>
      </c>
      <c r="K244" s="508" t="s">
        <v>571</v>
      </c>
      <c r="L244" s="508" t="s">
        <v>24</v>
      </c>
      <c r="M244" s="508">
        <v>3</v>
      </c>
      <c r="N244" s="550"/>
      <c r="O244" s="550"/>
      <c r="P244" s="392"/>
      <c r="Q244" s="392"/>
      <c r="R244" s="392"/>
      <c r="S244" s="392"/>
      <c r="T244" s="392"/>
      <c r="U244" s="255" t="s">
        <v>574</v>
      </c>
      <c r="V244" s="551"/>
      <c r="W244" s="542" t="str">
        <f t="shared" si="398"/>
        <v>RW0001_8+TA3 NA-</v>
      </c>
      <c r="X244" s="552" t="str">
        <f>I244&amp;TEXT(J244,"0000")&amp;"_"&amp;LEFT(Control!$D$22,LEN(Control!$D$22)-2)</f>
        <v>RW0001_8</v>
      </c>
      <c r="Y244" s="552" t="s">
        <v>433</v>
      </c>
      <c r="Z244" s="552" t="str">
        <f t="shared" si="404"/>
        <v>NA-</v>
      </c>
      <c r="AA244" s="552"/>
      <c r="AB244" s="552">
        <v>1</v>
      </c>
      <c r="AC244" s="552">
        <v>1</v>
      </c>
      <c r="AD244" s="552">
        <v>1</v>
      </c>
      <c r="AE244" s="552">
        <v>1</v>
      </c>
      <c r="AF244" s="552">
        <v>1</v>
      </c>
      <c r="AG244" s="542" t="s">
        <v>561</v>
      </c>
      <c r="AH244" s="552">
        <v>0</v>
      </c>
      <c r="AI244" s="552">
        <v>0</v>
      </c>
      <c r="AJ244" s="552">
        <v>1</v>
      </c>
      <c r="AK244" s="552">
        <v>1</v>
      </c>
      <c r="AL244" s="552">
        <v>1</v>
      </c>
      <c r="AM244" s="552">
        <v>0</v>
      </c>
      <c r="AN244" s="552">
        <v>0</v>
      </c>
      <c r="AO244" s="552">
        <v>1</v>
      </c>
      <c r="AP244" s="552">
        <v>1</v>
      </c>
      <c r="AQ244" s="552">
        <v>1</v>
      </c>
      <c r="AR244" s="552">
        <v>1</v>
      </c>
      <c r="AS244" s="552">
        <v>1</v>
      </c>
      <c r="AT244" s="552">
        <v>1</v>
      </c>
      <c r="AU244" s="552">
        <v>1</v>
      </c>
      <c r="AV244" s="592" t="s">
        <v>1132</v>
      </c>
      <c r="AW244" s="552" t="s">
        <v>562</v>
      </c>
      <c r="AX244" s="552"/>
      <c r="AY244" s="552" t="str">
        <f t="shared" si="401"/>
        <v>Yes</v>
      </c>
      <c r="AZ244" s="554" t="str">
        <f t="shared" si="405"/>
        <v>3:1:Ahead</v>
      </c>
      <c r="BA244" s="554" t="str">
        <f t="shared" si="406"/>
        <v>Broken Wire (# Broken Subconductors)</v>
      </c>
      <c r="BB244" s="552">
        <f t="shared" si="407"/>
        <v>4</v>
      </c>
      <c r="BC244" s="554" t="str">
        <f t="shared" si="408"/>
        <v>13:1:Ahead</v>
      </c>
      <c r="BD244" s="554" t="str">
        <f t="shared" si="409"/>
        <v>Broken Wire (# Broken Subconductors)</v>
      </c>
      <c r="BE244" s="552">
        <f t="shared" si="410"/>
        <v>4</v>
      </c>
      <c r="BF244" s="554" t="str">
        <f t="shared" si="403"/>
        <v/>
      </c>
      <c r="BG244" s="554" t="str">
        <f t="shared" si="411"/>
        <v/>
      </c>
      <c r="BH244" s="552" t="str">
        <f t="shared" si="412"/>
        <v/>
      </c>
      <c r="BI244" s="554" t="str">
        <f t="shared" si="413"/>
        <v/>
      </c>
      <c r="BJ244" s="554" t="str">
        <f t="shared" si="414"/>
        <v/>
      </c>
      <c r="BK244" s="552" t="str">
        <f t="shared" si="415"/>
        <v/>
      </c>
      <c r="BL244" s="554" t="str">
        <f t="shared" si="416"/>
        <v/>
      </c>
      <c r="BM244" s="554" t="str">
        <f t="shared" si="417"/>
        <v/>
      </c>
      <c r="BN244" s="552" t="str">
        <f t="shared" si="418"/>
        <v/>
      </c>
      <c r="BO244" s="554" t="str">
        <f t="shared" si="419"/>
        <v/>
      </c>
      <c r="BP244" s="554" t="str">
        <f t="shared" si="420"/>
        <v/>
      </c>
      <c r="BQ244" s="552" t="str">
        <f t="shared" si="421"/>
        <v/>
      </c>
      <c r="BR244" s="554"/>
      <c r="BS244" s="554"/>
      <c r="BT244" s="554"/>
      <c r="BU244" s="554"/>
      <c r="BV244" s="554"/>
      <c r="BW244" s="554"/>
      <c r="BX244" s="554"/>
      <c r="BY244" s="554"/>
      <c r="BZ244" s="554"/>
      <c r="CA244" s="554"/>
      <c r="CB244" s="554"/>
      <c r="CC244" s="554"/>
      <c r="CD244" s="554"/>
      <c r="CE244" s="554"/>
      <c r="CF244" s="554"/>
      <c r="CG244" s="554"/>
      <c r="CH244" s="554"/>
      <c r="CI244" s="554"/>
      <c r="CJ244" s="554"/>
      <c r="CK244" s="554"/>
      <c r="CL244" s="554"/>
      <c r="CM244" s="554"/>
      <c r="CN244" s="554"/>
      <c r="CO244" s="554"/>
      <c r="CP244" s="554"/>
      <c r="CQ244" s="554"/>
      <c r="CR244" s="554"/>
      <c r="CS244" s="554"/>
      <c r="CT244" s="554"/>
      <c r="CU244" s="554"/>
      <c r="CV244" s="554"/>
      <c r="CW244" s="554"/>
      <c r="CX244" s="554"/>
      <c r="CY244" s="554"/>
      <c r="CZ244" s="554"/>
      <c r="DA244" s="554"/>
      <c r="DB244" s="554"/>
      <c r="DC244" s="554"/>
      <c r="DD244" s="554"/>
      <c r="DE244" s="534"/>
      <c r="DF244" s="534"/>
      <c r="DG244" s="534"/>
    </row>
    <row r="245" spans="1:111" ht="15" x14ac:dyDescent="0.25">
      <c r="A245" s="549">
        <f>IFERROR(IF(INDEX('Weather Cases'!$E$10:$E$94,MATCH('Load Criteria'!X245,'Weather Cases'!$H$10:$H$94,0),1)=1,1,"-"),"-")</f>
        <v>1</v>
      </c>
      <c r="B245" s="555" t="s">
        <v>558</v>
      </c>
      <c r="C245" s="555" t="s">
        <v>559</v>
      </c>
      <c r="D245" s="555" t="s">
        <v>579</v>
      </c>
      <c r="E245" s="555">
        <v>1</v>
      </c>
      <c r="F245" s="556" t="s">
        <v>22</v>
      </c>
      <c r="G245" s="556" t="str">
        <f>IFERROR(IF(MID('Load Criteria'!X245,FIND("_",'Load Criteria'!X245,1)+1,1)=LEFT(Control!$D$23,1),"YES","-"),"-")</f>
        <v>-</v>
      </c>
      <c r="H245" s="549" t="s">
        <v>22</v>
      </c>
      <c r="I245" s="557" t="s">
        <v>327</v>
      </c>
      <c r="J245" s="550">
        <f>Control!$D$25</f>
        <v>1</v>
      </c>
      <c r="K245" s="508" t="s">
        <v>571</v>
      </c>
      <c r="L245" s="508" t="s">
        <v>40</v>
      </c>
      <c r="M245" s="508">
        <v>3</v>
      </c>
      <c r="N245" s="550"/>
      <c r="O245" s="550"/>
      <c r="P245" s="392"/>
      <c r="Q245" s="392"/>
      <c r="R245" s="392"/>
      <c r="S245" s="392"/>
      <c r="T245" s="392"/>
      <c r="U245" s="255" t="s">
        <v>574</v>
      </c>
      <c r="V245" s="551"/>
      <c r="W245" s="542" t="str">
        <f t="shared" si="398"/>
        <v>RW0001_8+TB3 NA-</v>
      </c>
      <c r="X245" s="552" t="str">
        <f>I245&amp;TEXT(J245,"0000")&amp;"_"&amp;LEFT(Control!$D$22,LEN(Control!$D$22)-2)</f>
        <v>RW0001_8</v>
      </c>
      <c r="Y245" s="552" t="s">
        <v>433</v>
      </c>
      <c r="Z245" s="552" t="str">
        <f t="shared" si="404"/>
        <v>NA-</v>
      </c>
      <c r="AA245" s="552"/>
      <c r="AB245" s="552">
        <v>1</v>
      </c>
      <c r="AC245" s="552">
        <v>1</v>
      </c>
      <c r="AD245" s="552">
        <v>1</v>
      </c>
      <c r="AE245" s="552">
        <v>1</v>
      </c>
      <c r="AF245" s="552">
        <v>1</v>
      </c>
      <c r="AG245" s="542" t="s">
        <v>561</v>
      </c>
      <c r="AH245" s="552">
        <v>0</v>
      </c>
      <c r="AI245" s="552">
        <v>0</v>
      </c>
      <c r="AJ245" s="552">
        <v>1</v>
      </c>
      <c r="AK245" s="552">
        <v>1</v>
      </c>
      <c r="AL245" s="552">
        <v>1</v>
      </c>
      <c r="AM245" s="552">
        <v>0</v>
      </c>
      <c r="AN245" s="552">
        <v>0</v>
      </c>
      <c r="AO245" s="552">
        <v>1</v>
      </c>
      <c r="AP245" s="552">
        <v>1</v>
      </c>
      <c r="AQ245" s="552">
        <v>1</v>
      </c>
      <c r="AR245" s="552">
        <v>1</v>
      </c>
      <c r="AS245" s="552">
        <v>1</v>
      </c>
      <c r="AT245" s="552">
        <v>1</v>
      </c>
      <c r="AU245" s="552">
        <v>1</v>
      </c>
      <c r="AV245" s="592" t="s">
        <v>1132</v>
      </c>
      <c r="AW245" s="552" t="s">
        <v>562</v>
      </c>
      <c r="AX245" s="552"/>
      <c r="AY245" s="552" t="str">
        <f t="shared" si="401"/>
        <v>Yes</v>
      </c>
      <c r="AZ245" s="554" t="str">
        <f t="shared" si="405"/>
        <v>3:1:Back</v>
      </c>
      <c r="BA245" s="554" t="str">
        <f t="shared" si="406"/>
        <v>Broken Wire (# Broken Subconductors)</v>
      </c>
      <c r="BB245" s="552">
        <f t="shared" si="407"/>
        <v>4</v>
      </c>
      <c r="BC245" s="554" t="str">
        <f t="shared" si="408"/>
        <v>13:1:Back</v>
      </c>
      <c r="BD245" s="554" t="str">
        <f t="shared" si="409"/>
        <v>Broken Wire (# Broken Subconductors)</v>
      </c>
      <c r="BE245" s="552">
        <f t="shared" si="410"/>
        <v>4</v>
      </c>
      <c r="BF245" s="554" t="str">
        <f t="shared" si="403"/>
        <v/>
      </c>
      <c r="BG245" s="554" t="str">
        <f t="shared" si="411"/>
        <v/>
      </c>
      <c r="BH245" s="552" t="str">
        <f t="shared" si="412"/>
        <v/>
      </c>
      <c r="BI245" s="554" t="str">
        <f t="shared" si="413"/>
        <v/>
      </c>
      <c r="BJ245" s="554" t="str">
        <f t="shared" si="414"/>
        <v/>
      </c>
      <c r="BK245" s="552" t="str">
        <f t="shared" si="415"/>
        <v/>
      </c>
      <c r="BL245" s="554" t="str">
        <f t="shared" si="416"/>
        <v/>
      </c>
      <c r="BM245" s="554" t="str">
        <f t="shared" si="417"/>
        <v/>
      </c>
      <c r="BN245" s="552" t="str">
        <f t="shared" si="418"/>
        <v/>
      </c>
      <c r="BO245" s="554" t="str">
        <f t="shared" si="419"/>
        <v/>
      </c>
      <c r="BP245" s="554" t="str">
        <f t="shared" si="420"/>
        <v/>
      </c>
      <c r="BQ245" s="552" t="str">
        <f t="shared" si="421"/>
        <v/>
      </c>
      <c r="BR245" s="554"/>
      <c r="BS245" s="554"/>
      <c r="BT245" s="554"/>
      <c r="BU245" s="554"/>
      <c r="BV245" s="554"/>
      <c r="BW245" s="554"/>
      <c r="BX245" s="554"/>
      <c r="BY245" s="554"/>
      <c r="BZ245" s="554"/>
      <c r="CA245" s="554"/>
      <c r="CB245" s="554"/>
      <c r="CC245" s="554"/>
      <c r="CD245" s="554"/>
      <c r="CE245" s="554"/>
      <c r="CF245" s="554"/>
      <c r="CG245" s="554"/>
      <c r="CH245" s="554"/>
      <c r="CI245" s="554"/>
      <c r="CJ245" s="554"/>
      <c r="CK245" s="554"/>
      <c r="CL245" s="554"/>
      <c r="CM245" s="554"/>
      <c r="CN245" s="554"/>
      <c r="CO245" s="554"/>
      <c r="CP245" s="554"/>
      <c r="CQ245" s="554"/>
      <c r="CR245" s="554"/>
      <c r="CS245" s="554"/>
      <c r="CT245" s="554"/>
      <c r="CU245" s="554"/>
      <c r="CV245" s="554"/>
      <c r="CW245" s="554"/>
      <c r="CX245" s="554"/>
      <c r="CY245" s="554"/>
      <c r="CZ245" s="554"/>
      <c r="DA245" s="554"/>
      <c r="DB245" s="554"/>
      <c r="DC245" s="554"/>
      <c r="DD245" s="554"/>
      <c r="DE245" s="534"/>
      <c r="DF245" s="534"/>
      <c r="DG245" s="534"/>
    </row>
    <row r="246" spans="1:111" ht="15" x14ac:dyDescent="0.25">
      <c r="A246" s="549">
        <f>IFERROR(IF(INDEX('Weather Cases'!$E$10:$E$94,MATCH('Load Criteria'!X246,'Weather Cases'!$H$10:$H$94,0),1)=1,1,"-"),"-")</f>
        <v>1</v>
      </c>
      <c r="B246" s="555" t="s">
        <v>558</v>
      </c>
      <c r="C246" s="555" t="s">
        <v>559</v>
      </c>
      <c r="D246" s="555" t="s">
        <v>579</v>
      </c>
      <c r="E246" s="555">
        <v>1</v>
      </c>
      <c r="F246" s="556" t="s">
        <v>22</v>
      </c>
      <c r="G246" s="556" t="str">
        <f>IFERROR(IF(MID('Load Criteria'!X246,FIND("_",'Load Criteria'!X246,1)+1,1)=LEFT(Control!$D$23,1),"YES","-"),"-")</f>
        <v>-</v>
      </c>
      <c r="H246" s="549" t="s">
        <v>22</v>
      </c>
      <c r="I246" s="557" t="s">
        <v>327</v>
      </c>
      <c r="J246" s="550">
        <f>Control!$D$25</f>
        <v>1</v>
      </c>
      <c r="K246" s="508" t="s">
        <v>571</v>
      </c>
      <c r="L246" s="508" t="s">
        <v>24</v>
      </c>
      <c r="M246" s="594">
        <v>4</v>
      </c>
      <c r="N246" s="550"/>
      <c r="O246" s="550"/>
      <c r="P246" s="392"/>
      <c r="Q246" s="392"/>
      <c r="R246" s="392"/>
      <c r="S246" s="392"/>
      <c r="T246" s="392"/>
      <c r="U246" s="255" t="s">
        <v>574</v>
      </c>
      <c r="V246" s="551"/>
      <c r="W246" s="542" t="str">
        <f t="shared" ref="W246:W251" si="437">X246&amp;"+"&amp;K246&amp;IF(L246="","",CONCATENATE(L246,M246,N246,O246))&amp;" "&amp;U246</f>
        <v>RW0001_8+TA4 NA-</v>
      </c>
      <c r="X246" s="552" t="str">
        <f>I246&amp;TEXT(J246,"0000")&amp;"_"&amp;LEFT(Control!$D$22,LEN(Control!$D$22)-2)</f>
        <v>RW0001_8</v>
      </c>
      <c r="Y246" s="552" t="s">
        <v>433</v>
      </c>
      <c r="Z246" s="552" t="str">
        <f t="shared" ref="Z246:Z251" si="438">U246</f>
        <v>NA-</v>
      </c>
      <c r="AA246" s="552"/>
      <c r="AB246" s="552">
        <v>1</v>
      </c>
      <c r="AC246" s="552">
        <v>1</v>
      </c>
      <c r="AD246" s="552">
        <v>1</v>
      </c>
      <c r="AE246" s="552">
        <v>1</v>
      </c>
      <c r="AF246" s="552">
        <v>1</v>
      </c>
      <c r="AG246" s="542" t="s">
        <v>561</v>
      </c>
      <c r="AH246" s="552">
        <v>0</v>
      </c>
      <c r="AI246" s="552">
        <v>0</v>
      </c>
      <c r="AJ246" s="552">
        <v>1</v>
      </c>
      <c r="AK246" s="552">
        <v>1</v>
      </c>
      <c r="AL246" s="552">
        <v>1</v>
      </c>
      <c r="AM246" s="552">
        <v>0</v>
      </c>
      <c r="AN246" s="552">
        <v>0</v>
      </c>
      <c r="AO246" s="552">
        <v>1</v>
      </c>
      <c r="AP246" s="552">
        <v>1</v>
      </c>
      <c r="AQ246" s="552">
        <v>1</v>
      </c>
      <c r="AR246" s="552">
        <v>1</v>
      </c>
      <c r="AS246" s="552">
        <v>1</v>
      </c>
      <c r="AT246" s="552">
        <v>1</v>
      </c>
      <c r="AU246" s="552">
        <v>1</v>
      </c>
      <c r="AV246" s="592" t="s">
        <v>1132</v>
      </c>
      <c r="AW246" s="552" t="s">
        <v>562</v>
      </c>
      <c r="AX246" s="552"/>
      <c r="AY246" s="552" t="str">
        <f t="shared" ref="AY246:AY251" si="439">IF(L246="","No","Yes")</f>
        <v>Yes</v>
      </c>
      <c r="AZ246" s="554" t="str">
        <f t="shared" si="405"/>
        <v>4:1:Ahead</v>
      </c>
      <c r="BA246" s="554" t="str">
        <f t="shared" ref="BA246:BA251" si="440">IF(AZ246="","","Broken Wire (# Broken Subconductors)")</f>
        <v>Broken Wire (# Broken Subconductors)</v>
      </c>
      <c r="BB246" s="552">
        <f t="shared" ref="BB246:BB251" si="441">IF(AZ246="","",4)</f>
        <v>4</v>
      </c>
      <c r="BC246" s="554" t="str">
        <f t="shared" si="408"/>
        <v>14:1:Ahead</v>
      </c>
      <c r="BD246" s="554" t="str">
        <f t="shared" ref="BD246:BD251" si="442">IF(BC246="","","Broken Wire (# Broken Subconductors)")</f>
        <v>Broken Wire (# Broken Subconductors)</v>
      </c>
      <c r="BE246" s="552">
        <f t="shared" ref="BE246:BE251" si="443">IF(BC246="","",4)</f>
        <v>4</v>
      </c>
      <c r="BF246" s="554" t="str">
        <f t="shared" si="403"/>
        <v/>
      </c>
      <c r="BG246" s="554" t="str">
        <f t="shared" ref="BG246:BG251" si="444">IF(BF246="","","Broken Wire (# Broken Subconductors)")</f>
        <v/>
      </c>
      <c r="BH246" s="552" t="str">
        <f t="shared" ref="BH246:BH251" si="445">IF(BF246="","",4)</f>
        <v/>
      </c>
      <c r="BI246" s="554" t="str">
        <f t="shared" si="413"/>
        <v/>
      </c>
      <c r="BJ246" s="554" t="str">
        <f t="shared" ref="BJ246:BJ251" si="446">IF(BI246="","","Broken Wire (# Broken Subconductors)")</f>
        <v/>
      </c>
      <c r="BK246" s="552" t="str">
        <f t="shared" ref="BK246:BK251" si="447">IF(BI246="","",4)</f>
        <v/>
      </c>
      <c r="BL246" s="554" t="str">
        <f t="shared" si="416"/>
        <v/>
      </c>
      <c r="BM246" s="554" t="str">
        <f t="shared" ref="BM246:BM251" si="448">IF(BL246="","","Broken Wire (# Broken Subconductors)")</f>
        <v/>
      </c>
      <c r="BN246" s="552" t="str">
        <f t="shared" ref="BN246:BN251" si="449">IF(BL246="","",4)</f>
        <v/>
      </c>
      <c r="BO246" s="554" t="str">
        <f t="shared" si="419"/>
        <v/>
      </c>
      <c r="BP246" s="554" t="str">
        <f t="shared" ref="BP246:BP251" si="450">IF(BO246="","","Broken Wire (# Broken Subconductors)")</f>
        <v/>
      </c>
      <c r="BQ246" s="552" t="str">
        <f t="shared" ref="BQ246:BQ251" si="451">IF(BO246="","",4)</f>
        <v/>
      </c>
      <c r="BR246" s="554"/>
      <c r="BS246" s="554"/>
      <c r="BT246" s="554"/>
      <c r="BU246" s="554"/>
      <c r="BV246" s="554"/>
      <c r="BW246" s="554"/>
      <c r="BX246" s="554"/>
      <c r="BY246" s="554"/>
      <c r="BZ246" s="554"/>
      <c r="CA246" s="554"/>
      <c r="CB246" s="554"/>
      <c r="CC246" s="554"/>
      <c r="CD246" s="554"/>
      <c r="CE246" s="554"/>
      <c r="CF246" s="554"/>
      <c r="CG246" s="554"/>
      <c r="CH246" s="554"/>
      <c r="CI246" s="554"/>
      <c r="CJ246" s="554"/>
      <c r="CK246" s="554"/>
      <c r="CL246" s="554"/>
      <c r="CM246" s="554"/>
      <c r="CN246" s="554"/>
      <c r="CO246" s="554"/>
      <c r="CP246" s="554"/>
      <c r="CQ246" s="554"/>
      <c r="CR246" s="554"/>
      <c r="CS246" s="554"/>
      <c r="CT246" s="554"/>
      <c r="CU246" s="554"/>
      <c r="CV246" s="554"/>
      <c r="CW246" s="554"/>
      <c r="CX246" s="554"/>
      <c r="CY246" s="554"/>
      <c r="CZ246" s="554"/>
      <c r="DA246" s="554"/>
      <c r="DB246" s="554"/>
      <c r="DC246" s="554"/>
      <c r="DD246" s="554"/>
      <c r="DE246" s="534"/>
      <c r="DF246" s="534"/>
      <c r="DG246" s="534"/>
    </row>
    <row r="247" spans="1:111" ht="15" x14ac:dyDescent="0.25">
      <c r="A247" s="549">
        <f>IFERROR(IF(INDEX('Weather Cases'!$E$10:$E$94,MATCH('Load Criteria'!X247,'Weather Cases'!$H$10:$H$94,0),1)=1,1,"-"),"-")</f>
        <v>1</v>
      </c>
      <c r="B247" s="555" t="s">
        <v>558</v>
      </c>
      <c r="C247" s="555" t="s">
        <v>559</v>
      </c>
      <c r="D247" s="555" t="s">
        <v>579</v>
      </c>
      <c r="E247" s="555">
        <v>1</v>
      </c>
      <c r="F247" s="556" t="s">
        <v>22</v>
      </c>
      <c r="G247" s="556" t="str">
        <f>IFERROR(IF(MID('Load Criteria'!X247,FIND("_",'Load Criteria'!X247,1)+1,1)=LEFT(Control!$D$23,1),"YES","-"),"-")</f>
        <v>-</v>
      </c>
      <c r="H247" s="549" t="s">
        <v>22</v>
      </c>
      <c r="I247" s="557" t="s">
        <v>327</v>
      </c>
      <c r="J247" s="550">
        <f>Control!$D$25</f>
        <v>1</v>
      </c>
      <c r="K247" s="508" t="s">
        <v>571</v>
      </c>
      <c r="L247" s="508" t="s">
        <v>40</v>
      </c>
      <c r="M247" s="594">
        <v>4</v>
      </c>
      <c r="N247" s="550"/>
      <c r="O247" s="550"/>
      <c r="P247" s="392"/>
      <c r="Q247" s="392"/>
      <c r="R247" s="392"/>
      <c r="S247" s="392"/>
      <c r="T247" s="392"/>
      <c r="U247" s="255" t="s">
        <v>574</v>
      </c>
      <c r="V247" s="551"/>
      <c r="W247" s="542" t="str">
        <f t="shared" si="437"/>
        <v>RW0001_8+TB4 NA-</v>
      </c>
      <c r="X247" s="552" t="str">
        <f>I247&amp;TEXT(J247,"0000")&amp;"_"&amp;LEFT(Control!$D$22,LEN(Control!$D$22)-2)</f>
        <v>RW0001_8</v>
      </c>
      <c r="Y247" s="552" t="s">
        <v>433</v>
      </c>
      <c r="Z247" s="552" t="str">
        <f t="shared" si="438"/>
        <v>NA-</v>
      </c>
      <c r="AA247" s="552"/>
      <c r="AB247" s="552">
        <v>1</v>
      </c>
      <c r="AC247" s="552">
        <v>1</v>
      </c>
      <c r="AD247" s="552">
        <v>1</v>
      </c>
      <c r="AE247" s="552">
        <v>1</v>
      </c>
      <c r="AF247" s="552">
        <v>1</v>
      </c>
      <c r="AG247" s="542" t="s">
        <v>561</v>
      </c>
      <c r="AH247" s="552">
        <v>0</v>
      </c>
      <c r="AI247" s="552">
        <v>0</v>
      </c>
      <c r="AJ247" s="552">
        <v>1</v>
      </c>
      <c r="AK247" s="552">
        <v>1</v>
      </c>
      <c r="AL247" s="552">
        <v>1</v>
      </c>
      <c r="AM247" s="552">
        <v>0</v>
      </c>
      <c r="AN247" s="552">
        <v>0</v>
      </c>
      <c r="AO247" s="552">
        <v>1</v>
      </c>
      <c r="AP247" s="552">
        <v>1</v>
      </c>
      <c r="AQ247" s="552">
        <v>1</v>
      </c>
      <c r="AR247" s="552">
        <v>1</v>
      </c>
      <c r="AS247" s="552">
        <v>1</v>
      </c>
      <c r="AT247" s="552">
        <v>1</v>
      </c>
      <c r="AU247" s="552">
        <v>1</v>
      </c>
      <c r="AV247" s="592" t="s">
        <v>1132</v>
      </c>
      <c r="AW247" s="552" t="s">
        <v>562</v>
      </c>
      <c r="AX247" s="552"/>
      <c r="AY247" s="552" t="str">
        <f t="shared" si="439"/>
        <v>Yes</v>
      </c>
      <c r="AZ247" s="554" t="str">
        <f t="shared" si="405"/>
        <v>4:1:Back</v>
      </c>
      <c r="BA247" s="554" t="str">
        <f t="shared" si="440"/>
        <v>Broken Wire (# Broken Subconductors)</v>
      </c>
      <c r="BB247" s="552">
        <f t="shared" si="441"/>
        <v>4</v>
      </c>
      <c r="BC247" s="554" t="str">
        <f t="shared" si="408"/>
        <v>14:1:Back</v>
      </c>
      <c r="BD247" s="554" t="str">
        <f t="shared" si="442"/>
        <v>Broken Wire (# Broken Subconductors)</v>
      </c>
      <c r="BE247" s="552">
        <f t="shared" si="443"/>
        <v>4</v>
      </c>
      <c r="BF247" s="554" t="str">
        <f t="shared" si="403"/>
        <v/>
      </c>
      <c r="BG247" s="554" t="str">
        <f t="shared" si="444"/>
        <v/>
      </c>
      <c r="BH247" s="552" t="str">
        <f t="shared" si="445"/>
        <v/>
      </c>
      <c r="BI247" s="554" t="str">
        <f t="shared" si="413"/>
        <v/>
      </c>
      <c r="BJ247" s="554" t="str">
        <f t="shared" si="446"/>
        <v/>
      </c>
      <c r="BK247" s="552" t="str">
        <f t="shared" si="447"/>
        <v/>
      </c>
      <c r="BL247" s="554" t="str">
        <f t="shared" si="416"/>
        <v/>
      </c>
      <c r="BM247" s="554" t="str">
        <f t="shared" si="448"/>
        <v/>
      </c>
      <c r="BN247" s="552" t="str">
        <f t="shared" si="449"/>
        <v/>
      </c>
      <c r="BO247" s="554" t="str">
        <f t="shared" si="419"/>
        <v/>
      </c>
      <c r="BP247" s="554" t="str">
        <f t="shared" si="450"/>
        <v/>
      </c>
      <c r="BQ247" s="552" t="str">
        <f t="shared" si="451"/>
        <v/>
      </c>
      <c r="BR247" s="554"/>
      <c r="BS247" s="554"/>
      <c r="BT247" s="554"/>
      <c r="BU247" s="554"/>
      <c r="BV247" s="554"/>
      <c r="BW247" s="554"/>
      <c r="BX247" s="554"/>
      <c r="BY247" s="554"/>
      <c r="BZ247" s="554"/>
      <c r="CA247" s="554"/>
      <c r="CB247" s="554"/>
      <c r="CC247" s="554"/>
      <c r="CD247" s="554"/>
      <c r="CE247" s="554"/>
      <c r="CF247" s="554"/>
      <c r="CG247" s="554"/>
      <c r="CH247" s="554"/>
      <c r="CI247" s="554"/>
      <c r="CJ247" s="554"/>
      <c r="CK247" s="554"/>
      <c r="CL247" s="554"/>
      <c r="CM247" s="554"/>
      <c r="CN247" s="554"/>
      <c r="CO247" s="554"/>
      <c r="CP247" s="554"/>
      <c r="CQ247" s="554"/>
      <c r="CR247" s="554"/>
      <c r="CS247" s="554"/>
      <c r="CT247" s="554"/>
      <c r="CU247" s="554"/>
      <c r="CV247" s="554"/>
      <c r="CW247" s="554"/>
      <c r="CX247" s="554"/>
      <c r="CY247" s="554"/>
      <c r="CZ247" s="554"/>
      <c r="DA247" s="554"/>
      <c r="DB247" s="554"/>
      <c r="DC247" s="554"/>
      <c r="DD247" s="554"/>
      <c r="DE247" s="534"/>
      <c r="DF247" s="534"/>
      <c r="DG247" s="534"/>
    </row>
    <row r="248" spans="1:111" ht="15" x14ac:dyDescent="0.25">
      <c r="A248" s="549">
        <f>IFERROR(IF(INDEX('Weather Cases'!$E$10:$E$94,MATCH('Load Criteria'!X248,'Weather Cases'!$H$10:$H$94,0),1)=1,1,"-"),"-")</f>
        <v>1</v>
      </c>
      <c r="B248" s="555" t="s">
        <v>558</v>
      </c>
      <c r="C248" s="555" t="s">
        <v>559</v>
      </c>
      <c r="D248" s="555" t="s">
        <v>579</v>
      </c>
      <c r="E248" s="555">
        <v>1</v>
      </c>
      <c r="F248" s="556" t="s">
        <v>22</v>
      </c>
      <c r="G248" s="556" t="str">
        <f>IFERROR(IF(MID('Load Criteria'!X248,FIND("_",'Load Criteria'!X248,1)+1,1)=LEFT(Control!$D$23,1),"YES","-"),"-")</f>
        <v>-</v>
      </c>
      <c r="H248" s="549" t="s">
        <v>22</v>
      </c>
      <c r="I248" s="557" t="s">
        <v>327</v>
      </c>
      <c r="J248" s="550">
        <f>Control!$D$25</f>
        <v>1</v>
      </c>
      <c r="K248" s="508" t="s">
        <v>571</v>
      </c>
      <c r="L248" s="508" t="s">
        <v>24</v>
      </c>
      <c r="M248" s="594">
        <v>5</v>
      </c>
      <c r="N248" s="550"/>
      <c r="O248" s="550"/>
      <c r="P248" s="392"/>
      <c r="Q248" s="392"/>
      <c r="R248" s="392"/>
      <c r="S248" s="392"/>
      <c r="T248" s="392"/>
      <c r="U248" s="255" t="s">
        <v>574</v>
      </c>
      <c r="V248" s="551"/>
      <c r="W248" s="542" t="str">
        <f t="shared" si="437"/>
        <v>RW0001_8+TA5 NA-</v>
      </c>
      <c r="X248" s="552" t="str">
        <f>I248&amp;TEXT(J248,"0000")&amp;"_"&amp;LEFT(Control!$D$22,LEN(Control!$D$22)-2)</f>
        <v>RW0001_8</v>
      </c>
      <c r="Y248" s="552" t="s">
        <v>433</v>
      </c>
      <c r="Z248" s="552" t="str">
        <f t="shared" si="438"/>
        <v>NA-</v>
      </c>
      <c r="AA248" s="552"/>
      <c r="AB248" s="552">
        <v>1</v>
      </c>
      <c r="AC248" s="552">
        <v>1</v>
      </c>
      <c r="AD248" s="552">
        <v>1</v>
      </c>
      <c r="AE248" s="552">
        <v>1</v>
      </c>
      <c r="AF248" s="552">
        <v>1</v>
      </c>
      <c r="AG248" s="542" t="s">
        <v>561</v>
      </c>
      <c r="AH248" s="552">
        <v>0</v>
      </c>
      <c r="AI248" s="552">
        <v>0</v>
      </c>
      <c r="AJ248" s="552">
        <v>1</v>
      </c>
      <c r="AK248" s="552">
        <v>1</v>
      </c>
      <c r="AL248" s="552">
        <v>1</v>
      </c>
      <c r="AM248" s="552">
        <v>0</v>
      </c>
      <c r="AN248" s="552">
        <v>0</v>
      </c>
      <c r="AO248" s="552">
        <v>1</v>
      </c>
      <c r="AP248" s="552">
        <v>1</v>
      </c>
      <c r="AQ248" s="552">
        <v>1</v>
      </c>
      <c r="AR248" s="552">
        <v>1</v>
      </c>
      <c r="AS248" s="552">
        <v>1</v>
      </c>
      <c r="AT248" s="552">
        <v>1</v>
      </c>
      <c r="AU248" s="552">
        <v>1</v>
      </c>
      <c r="AV248" s="592" t="s">
        <v>1132</v>
      </c>
      <c r="AW248" s="552" t="s">
        <v>562</v>
      </c>
      <c r="AX248" s="552"/>
      <c r="AY248" s="552" t="str">
        <f t="shared" si="439"/>
        <v>Yes</v>
      </c>
      <c r="AZ248" s="554" t="str">
        <f t="shared" si="405"/>
        <v>5:1:Ahead</v>
      </c>
      <c r="BA248" s="554" t="str">
        <f t="shared" si="440"/>
        <v>Broken Wire (# Broken Subconductors)</v>
      </c>
      <c r="BB248" s="552">
        <f t="shared" si="441"/>
        <v>4</v>
      </c>
      <c r="BC248" s="554" t="str">
        <f t="shared" si="408"/>
        <v>15:1:Ahead</v>
      </c>
      <c r="BD248" s="554" t="str">
        <f t="shared" si="442"/>
        <v>Broken Wire (# Broken Subconductors)</v>
      </c>
      <c r="BE248" s="552">
        <f t="shared" si="443"/>
        <v>4</v>
      </c>
      <c r="BF248" s="554" t="str">
        <f t="shared" si="403"/>
        <v/>
      </c>
      <c r="BG248" s="554" t="str">
        <f t="shared" si="444"/>
        <v/>
      </c>
      <c r="BH248" s="552" t="str">
        <f t="shared" si="445"/>
        <v/>
      </c>
      <c r="BI248" s="554" t="str">
        <f t="shared" si="413"/>
        <v/>
      </c>
      <c r="BJ248" s="554" t="str">
        <f t="shared" si="446"/>
        <v/>
      </c>
      <c r="BK248" s="552" t="str">
        <f t="shared" si="447"/>
        <v/>
      </c>
      <c r="BL248" s="554" t="str">
        <f t="shared" si="416"/>
        <v/>
      </c>
      <c r="BM248" s="554" t="str">
        <f t="shared" si="448"/>
        <v/>
      </c>
      <c r="BN248" s="552" t="str">
        <f t="shared" si="449"/>
        <v/>
      </c>
      <c r="BO248" s="554" t="str">
        <f t="shared" si="419"/>
        <v/>
      </c>
      <c r="BP248" s="554" t="str">
        <f t="shared" si="450"/>
        <v/>
      </c>
      <c r="BQ248" s="552" t="str">
        <f t="shared" si="451"/>
        <v/>
      </c>
      <c r="BR248" s="554"/>
      <c r="BS248" s="554"/>
      <c r="BT248" s="554"/>
      <c r="BU248" s="554"/>
      <c r="BV248" s="554"/>
      <c r="BW248" s="554"/>
      <c r="BX248" s="554"/>
      <c r="BY248" s="554"/>
      <c r="BZ248" s="554"/>
      <c r="CA248" s="554"/>
      <c r="CB248" s="554"/>
      <c r="CC248" s="554"/>
      <c r="CD248" s="554"/>
      <c r="CE248" s="554"/>
      <c r="CF248" s="554"/>
      <c r="CG248" s="554"/>
      <c r="CH248" s="554"/>
      <c r="CI248" s="554"/>
      <c r="CJ248" s="554"/>
      <c r="CK248" s="554"/>
      <c r="CL248" s="554"/>
      <c r="CM248" s="554"/>
      <c r="CN248" s="554"/>
      <c r="CO248" s="554"/>
      <c r="CP248" s="554"/>
      <c r="CQ248" s="554"/>
      <c r="CR248" s="554"/>
      <c r="CS248" s="554"/>
      <c r="CT248" s="554"/>
      <c r="CU248" s="554"/>
      <c r="CV248" s="554"/>
      <c r="CW248" s="554"/>
      <c r="CX248" s="554"/>
      <c r="CY248" s="554"/>
      <c r="CZ248" s="554"/>
      <c r="DA248" s="554"/>
      <c r="DB248" s="554"/>
      <c r="DC248" s="554"/>
      <c r="DD248" s="554"/>
      <c r="DE248" s="534"/>
      <c r="DF248" s="534"/>
      <c r="DG248" s="534"/>
    </row>
    <row r="249" spans="1:111" ht="15" x14ac:dyDescent="0.25">
      <c r="A249" s="549">
        <f>IFERROR(IF(INDEX('Weather Cases'!$E$10:$E$94,MATCH('Load Criteria'!X249,'Weather Cases'!$H$10:$H$94,0),1)=1,1,"-"),"-")</f>
        <v>1</v>
      </c>
      <c r="B249" s="555" t="s">
        <v>558</v>
      </c>
      <c r="C249" s="555" t="s">
        <v>559</v>
      </c>
      <c r="D249" s="555" t="s">
        <v>579</v>
      </c>
      <c r="E249" s="555">
        <v>1</v>
      </c>
      <c r="F249" s="556" t="s">
        <v>22</v>
      </c>
      <c r="G249" s="556" t="str">
        <f>IFERROR(IF(MID('Load Criteria'!X249,FIND("_",'Load Criteria'!X249,1)+1,1)=LEFT(Control!$D$23,1),"YES","-"),"-")</f>
        <v>-</v>
      </c>
      <c r="H249" s="549" t="s">
        <v>22</v>
      </c>
      <c r="I249" s="557" t="s">
        <v>327</v>
      </c>
      <c r="J249" s="550">
        <f>Control!$D$25</f>
        <v>1</v>
      </c>
      <c r="K249" s="508" t="s">
        <v>571</v>
      </c>
      <c r="L249" s="508" t="s">
        <v>40</v>
      </c>
      <c r="M249" s="594">
        <v>5</v>
      </c>
      <c r="N249" s="550"/>
      <c r="O249" s="550"/>
      <c r="P249" s="392"/>
      <c r="Q249" s="392"/>
      <c r="R249" s="392"/>
      <c r="S249" s="392"/>
      <c r="T249" s="392"/>
      <c r="U249" s="255" t="s">
        <v>574</v>
      </c>
      <c r="V249" s="551"/>
      <c r="W249" s="542" t="str">
        <f t="shared" si="437"/>
        <v>RW0001_8+TB5 NA-</v>
      </c>
      <c r="X249" s="552" t="str">
        <f>I249&amp;TEXT(J249,"0000")&amp;"_"&amp;LEFT(Control!$D$22,LEN(Control!$D$22)-2)</f>
        <v>RW0001_8</v>
      </c>
      <c r="Y249" s="552" t="s">
        <v>433</v>
      </c>
      <c r="Z249" s="552" t="str">
        <f t="shared" si="438"/>
        <v>NA-</v>
      </c>
      <c r="AA249" s="552"/>
      <c r="AB249" s="552">
        <v>1</v>
      </c>
      <c r="AC249" s="552">
        <v>1</v>
      </c>
      <c r="AD249" s="552">
        <v>1</v>
      </c>
      <c r="AE249" s="552">
        <v>1</v>
      </c>
      <c r="AF249" s="552">
        <v>1</v>
      </c>
      <c r="AG249" s="542" t="s">
        <v>561</v>
      </c>
      <c r="AH249" s="552">
        <v>0</v>
      </c>
      <c r="AI249" s="552">
        <v>0</v>
      </c>
      <c r="AJ249" s="552">
        <v>1</v>
      </c>
      <c r="AK249" s="552">
        <v>1</v>
      </c>
      <c r="AL249" s="552">
        <v>1</v>
      </c>
      <c r="AM249" s="552">
        <v>0</v>
      </c>
      <c r="AN249" s="552">
        <v>0</v>
      </c>
      <c r="AO249" s="552">
        <v>1</v>
      </c>
      <c r="AP249" s="552">
        <v>1</v>
      </c>
      <c r="AQ249" s="552">
        <v>1</v>
      </c>
      <c r="AR249" s="552">
        <v>1</v>
      </c>
      <c r="AS249" s="552">
        <v>1</v>
      </c>
      <c r="AT249" s="552">
        <v>1</v>
      </c>
      <c r="AU249" s="552">
        <v>1</v>
      </c>
      <c r="AV249" s="592" t="s">
        <v>1132</v>
      </c>
      <c r="AW249" s="552" t="s">
        <v>562</v>
      </c>
      <c r="AX249" s="552"/>
      <c r="AY249" s="552" t="str">
        <f t="shared" si="439"/>
        <v>Yes</v>
      </c>
      <c r="AZ249" s="554" t="str">
        <f t="shared" si="405"/>
        <v>5:1:Back</v>
      </c>
      <c r="BA249" s="554" t="str">
        <f t="shared" si="440"/>
        <v>Broken Wire (# Broken Subconductors)</v>
      </c>
      <c r="BB249" s="552">
        <f t="shared" si="441"/>
        <v>4</v>
      </c>
      <c r="BC249" s="554" t="str">
        <f t="shared" si="408"/>
        <v>15:1:Back</v>
      </c>
      <c r="BD249" s="554" t="str">
        <f t="shared" si="442"/>
        <v>Broken Wire (# Broken Subconductors)</v>
      </c>
      <c r="BE249" s="552">
        <f t="shared" si="443"/>
        <v>4</v>
      </c>
      <c r="BF249" s="554" t="str">
        <f t="shared" si="403"/>
        <v/>
      </c>
      <c r="BG249" s="554" t="str">
        <f t="shared" si="444"/>
        <v/>
      </c>
      <c r="BH249" s="552" t="str">
        <f t="shared" si="445"/>
        <v/>
      </c>
      <c r="BI249" s="554" t="str">
        <f t="shared" si="413"/>
        <v/>
      </c>
      <c r="BJ249" s="554" t="str">
        <f t="shared" si="446"/>
        <v/>
      </c>
      <c r="BK249" s="552" t="str">
        <f t="shared" si="447"/>
        <v/>
      </c>
      <c r="BL249" s="554" t="str">
        <f t="shared" si="416"/>
        <v/>
      </c>
      <c r="BM249" s="554" t="str">
        <f t="shared" si="448"/>
        <v/>
      </c>
      <c r="BN249" s="552" t="str">
        <f t="shared" si="449"/>
        <v/>
      </c>
      <c r="BO249" s="554" t="str">
        <f t="shared" si="419"/>
        <v/>
      </c>
      <c r="BP249" s="554" t="str">
        <f t="shared" si="450"/>
        <v/>
      </c>
      <c r="BQ249" s="552" t="str">
        <f t="shared" si="451"/>
        <v/>
      </c>
      <c r="BR249" s="554"/>
      <c r="BS249" s="554"/>
      <c r="BT249" s="554"/>
      <c r="BU249" s="554"/>
      <c r="BV249" s="554"/>
      <c r="BW249" s="554"/>
      <c r="BX249" s="554"/>
      <c r="BY249" s="554"/>
      <c r="BZ249" s="554"/>
      <c r="CA249" s="554"/>
      <c r="CB249" s="554"/>
      <c r="CC249" s="554"/>
      <c r="CD249" s="554"/>
      <c r="CE249" s="554"/>
      <c r="CF249" s="554"/>
      <c r="CG249" s="554"/>
      <c r="CH249" s="554"/>
      <c r="CI249" s="554"/>
      <c r="CJ249" s="554"/>
      <c r="CK249" s="554"/>
      <c r="CL249" s="554"/>
      <c r="CM249" s="554"/>
      <c r="CN249" s="554"/>
      <c r="CO249" s="554"/>
      <c r="CP249" s="554"/>
      <c r="CQ249" s="554"/>
      <c r="CR249" s="554"/>
      <c r="CS249" s="554"/>
      <c r="CT249" s="554"/>
      <c r="CU249" s="554"/>
      <c r="CV249" s="554"/>
      <c r="CW249" s="554"/>
      <c r="CX249" s="554"/>
      <c r="CY249" s="554"/>
      <c r="CZ249" s="554"/>
      <c r="DA249" s="554"/>
      <c r="DB249" s="554"/>
      <c r="DC249" s="554"/>
      <c r="DD249" s="554"/>
      <c r="DE249" s="534"/>
      <c r="DF249" s="534"/>
      <c r="DG249" s="534"/>
    </row>
    <row r="250" spans="1:111" ht="15" x14ac:dyDescent="0.25">
      <c r="A250" s="549">
        <f>IFERROR(IF(INDEX('Weather Cases'!$E$10:$E$94,MATCH('Load Criteria'!X250,'Weather Cases'!$H$10:$H$94,0),1)=1,1,"-"),"-")</f>
        <v>1</v>
      </c>
      <c r="B250" s="555" t="s">
        <v>558</v>
      </c>
      <c r="C250" s="555" t="s">
        <v>559</v>
      </c>
      <c r="D250" s="555" t="s">
        <v>579</v>
      </c>
      <c r="E250" s="555">
        <v>1</v>
      </c>
      <c r="F250" s="556" t="s">
        <v>22</v>
      </c>
      <c r="G250" s="556" t="str">
        <f>IFERROR(IF(MID('Load Criteria'!X250,FIND("_",'Load Criteria'!X250,1)+1,1)=LEFT(Control!$D$23,1),"YES","-"),"-")</f>
        <v>-</v>
      </c>
      <c r="H250" s="549" t="s">
        <v>22</v>
      </c>
      <c r="I250" s="557" t="s">
        <v>327</v>
      </c>
      <c r="J250" s="550">
        <f>Control!$D$25</f>
        <v>1</v>
      </c>
      <c r="K250" s="508" t="s">
        <v>571</v>
      </c>
      <c r="L250" s="508" t="s">
        <v>24</v>
      </c>
      <c r="M250" s="594">
        <v>6</v>
      </c>
      <c r="N250" s="550"/>
      <c r="O250" s="550"/>
      <c r="P250" s="392"/>
      <c r="Q250" s="392"/>
      <c r="R250" s="392"/>
      <c r="S250" s="392"/>
      <c r="T250" s="392"/>
      <c r="U250" s="255" t="s">
        <v>574</v>
      </c>
      <c r="V250" s="551"/>
      <c r="W250" s="542" t="str">
        <f t="shared" si="437"/>
        <v>RW0001_8+TA6 NA-</v>
      </c>
      <c r="X250" s="552" t="str">
        <f>I250&amp;TEXT(J250,"0000")&amp;"_"&amp;LEFT(Control!$D$22,LEN(Control!$D$22)-2)</f>
        <v>RW0001_8</v>
      </c>
      <c r="Y250" s="552" t="s">
        <v>433</v>
      </c>
      <c r="Z250" s="552" t="str">
        <f t="shared" si="438"/>
        <v>NA-</v>
      </c>
      <c r="AA250" s="552"/>
      <c r="AB250" s="552">
        <v>1</v>
      </c>
      <c r="AC250" s="552">
        <v>1</v>
      </c>
      <c r="AD250" s="552">
        <v>1</v>
      </c>
      <c r="AE250" s="552">
        <v>1</v>
      </c>
      <c r="AF250" s="552">
        <v>1</v>
      </c>
      <c r="AG250" s="542" t="s">
        <v>561</v>
      </c>
      <c r="AH250" s="552">
        <v>0</v>
      </c>
      <c r="AI250" s="552">
        <v>0</v>
      </c>
      <c r="AJ250" s="552">
        <v>1</v>
      </c>
      <c r="AK250" s="552">
        <v>1</v>
      </c>
      <c r="AL250" s="552">
        <v>1</v>
      </c>
      <c r="AM250" s="552">
        <v>0</v>
      </c>
      <c r="AN250" s="552">
        <v>0</v>
      </c>
      <c r="AO250" s="552">
        <v>1</v>
      </c>
      <c r="AP250" s="552">
        <v>1</v>
      </c>
      <c r="AQ250" s="552">
        <v>1</v>
      </c>
      <c r="AR250" s="552">
        <v>1</v>
      </c>
      <c r="AS250" s="552">
        <v>1</v>
      </c>
      <c r="AT250" s="552">
        <v>1</v>
      </c>
      <c r="AU250" s="552">
        <v>1</v>
      </c>
      <c r="AV250" s="592" t="s">
        <v>1132</v>
      </c>
      <c r="AW250" s="552" t="s">
        <v>562</v>
      </c>
      <c r="AX250" s="552"/>
      <c r="AY250" s="552" t="str">
        <f t="shared" si="439"/>
        <v>Yes</v>
      </c>
      <c r="AZ250" s="554" t="str">
        <f t="shared" si="405"/>
        <v>6:1:Ahead</v>
      </c>
      <c r="BA250" s="554" t="str">
        <f t="shared" si="440"/>
        <v>Broken Wire (# Broken Subconductors)</v>
      </c>
      <c r="BB250" s="552">
        <f t="shared" si="441"/>
        <v>4</v>
      </c>
      <c r="BC250" s="554" t="str">
        <f t="shared" si="408"/>
        <v>16:1:Ahead</v>
      </c>
      <c r="BD250" s="554" t="str">
        <f t="shared" si="442"/>
        <v>Broken Wire (# Broken Subconductors)</v>
      </c>
      <c r="BE250" s="552">
        <f t="shared" si="443"/>
        <v>4</v>
      </c>
      <c r="BF250" s="554" t="str">
        <f t="shared" si="403"/>
        <v/>
      </c>
      <c r="BG250" s="554" t="str">
        <f t="shared" si="444"/>
        <v/>
      </c>
      <c r="BH250" s="552" t="str">
        <f t="shared" si="445"/>
        <v/>
      </c>
      <c r="BI250" s="554" t="str">
        <f t="shared" si="413"/>
        <v/>
      </c>
      <c r="BJ250" s="554" t="str">
        <f t="shared" si="446"/>
        <v/>
      </c>
      <c r="BK250" s="552" t="str">
        <f t="shared" si="447"/>
        <v/>
      </c>
      <c r="BL250" s="554" t="str">
        <f t="shared" si="416"/>
        <v/>
      </c>
      <c r="BM250" s="554" t="str">
        <f t="shared" si="448"/>
        <v/>
      </c>
      <c r="BN250" s="552" t="str">
        <f t="shared" si="449"/>
        <v/>
      </c>
      <c r="BO250" s="554" t="str">
        <f t="shared" si="419"/>
        <v/>
      </c>
      <c r="BP250" s="554" t="str">
        <f t="shared" si="450"/>
        <v/>
      </c>
      <c r="BQ250" s="552" t="str">
        <f t="shared" si="451"/>
        <v/>
      </c>
      <c r="BR250" s="554"/>
      <c r="BS250" s="554"/>
      <c r="BT250" s="554"/>
      <c r="BU250" s="554"/>
      <c r="BV250" s="554"/>
      <c r="BW250" s="554"/>
      <c r="BX250" s="554"/>
      <c r="BY250" s="554"/>
      <c r="BZ250" s="554"/>
      <c r="CA250" s="554"/>
      <c r="CB250" s="554"/>
      <c r="CC250" s="554"/>
      <c r="CD250" s="554"/>
      <c r="CE250" s="554"/>
      <c r="CF250" s="554"/>
      <c r="CG250" s="554"/>
      <c r="CH250" s="554"/>
      <c r="CI250" s="554"/>
      <c r="CJ250" s="554"/>
      <c r="CK250" s="554"/>
      <c r="CL250" s="554"/>
      <c r="CM250" s="554"/>
      <c r="CN250" s="554"/>
      <c r="CO250" s="554"/>
      <c r="CP250" s="554"/>
      <c r="CQ250" s="554"/>
      <c r="CR250" s="554"/>
      <c r="CS250" s="554"/>
      <c r="CT250" s="554"/>
      <c r="CU250" s="554"/>
      <c r="CV250" s="554"/>
      <c r="CW250" s="554"/>
      <c r="CX250" s="554"/>
      <c r="CY250" s="554"/>
      <c r="CZ250" s="554"/>
      <c r="DA250" s="554"/>
      <c r="DB250" s="554"/>
      <c r="DC250" s="554"/>
      <c r="DD250" s="554"/>
      <c r="DE250" s="534"/>
      <c r="DF250" s="534"/>
      <c r="DG250" s="534"/>
    </row>
    <row r="251" spans="1:111" ht="15" x14ac:dyDescent="0.25">
      <c r="A251" s="549">
        <f>IFERROR(IF(INDEX('Weather Cases'!$E$10:$E$94,MATCH('Load Criteria'!X251,'Weather Cases'!$H$10:$H$94,0),1)=1,1,"-"),"-")</f>
        <v>1</v>
      </c>
      <c r="B251" s="555" t="s">
        <v>558</v>
      </c>
      <c r="C251" s="555" t="s">
        <v>559</v>
      </c>
      <c r="D251" s="555" t="s">
        <v>579</v>
      </c>
      <c r="E251" s="555">
        <v>1</v>
      </c>
      <c r="F251" s="556" t="s">
        <v>22</v>
      </c>
      <c r="G251" s="556" t="str">
        <f>IFERROR(IF(MID('Load Criteria'!X251,FIND("_",'Load Criteria'!X251,1)+1,1)=LEFT(Control!$D$23,1),"YES","-"),"-")</f>
        <v>-</v>
      </c>
      <c r="H251" s="549" t="s">
        <v>22</v>
      </c>
      <c r="I251" s="557" t="s">
        <v>327</v>
      </c>
      <c r="J251" s="550">
        <f>Control!$D$25</f>
        <v>1</v>
      </c>
      <c r="K251" s="508" t="s">
        <v>571</v>
      </c>
      <c r="L251" s="508" t="s">
        <v>40</v>
      </c>
      <c r="M251" s="594">
        <v>6</v>
      </c>
      <c r="N251" s="550"/>
      <c r="O251" s="550"/>
      <c r="P251" s="392"/>
      <c r="Q251" s="392"/>
      <c r="R251" s="392"/>
      <c r="S251" s="392"/>
      <c r="T251" s="392"/>
      <c r="U251" s="255" t="s">
        <v>574</v>
      </c>
      <c r="V251" s="551"/>
      <c r="W251" s="542" t="str">
        <f t="shared" si="437"/>
        <v>RW0001_8+TB6 NA-</v>
      </c>
      <c r="X251" s="552" t="str">
        <f>I251&amp;TEXT(J251,"0000")&amp;"_"&amp;LEFT(Control!$D$22,LEN(Control!$D$22)-2)</f>
        <v>RW0001_8</v>
      </c>
      <c r="Y251" s="552" t="s">
        <v>433</v>
      </c>
      <c r="Z251" s="552" t="str">
        <f t="shared" si="438"/>
        <v>NA-</v>
      </c>
      <c r="AA251" s="552"/>
      <c r="AB251" s="552">
        <v>1</v>
      </c>
      <c r="AC251" s="552">
        <v>1</v>
      </c>
      <c r="AD251" s="552">
        <v>1</v>
      </c>
      <c r="AE251" s="552">
        <v>1</v>
      </c>
      <c r="AF251" s="552">
        <v>1</v>
      </c>
      <c r="AG251" s="542" t="s">
        <v>561</v>
      </c>
      <c r="AH251" s="552">
        <v>0</v>
      </c>
      <c r="AI251" s="552">
        <v>0</v>
      </c>
      <c r="AJ251" s="552">
        <v>1</v>
      </c>
      <c r="AK251" s="552">
        <v>1</v>
      </c>
      <c r="AL251" s="552">
        <v>1</v>
      </c>
      <c r="AM251" s="552">
        <v>0</v>
      </c>
      <c r="AN251" s="552">
        <v>0</v>
      </c>
      <c r="AO251" s="552">
        <v>1</v>
      </c>
      <c r="AP251" s="552">
        <v>1</v>
      </c>
      <c r="AQ251" s="552">
        <v>1</v>
      </c>
      <c r="AR251" s="552">
        <v>1</v>
      </c>
      <c r="AS251" s="552">
        <v>1</v>
      </c>
      <c r="AT251" s="552">
        <v>1</v>
      </c>
      <c r="AU251" s="552">
        <v>1</v>
      </c>
      <c r="AV251" s="592" t="s">
        <v>1132</v>
      </c>
      <c r="AW251" s="552" t="s">
        <v>562</v>
      </c>
      <c r="AX251" s="552"/>
      <c r="AY251" s="552" t="str">
        <f t="shared" si="439"/>
        <v>Yes</v>
      </c>
      <c r="AZ251" s="554" t="str">
        <f t="shared" si="405"/>
        <v>6:1:Back</v>
      </c>
      <c r="BA251" s="554" t="str">
        <f t="shared" si="440"/>
        <v>Broken Wire (# Broken Subconductors)</v>
      </c>
      <c r="BB251" s="552">
        <f t="shared" si="441"/>
        <v>4</v>
      </c>
      <c r="BC251" s="554" t="str">
        <f t="shared" si="408"/>
        <v>16:1:Back</v>
      </c>
      <c r="BD251" s="554" t="str">
        <f t="shared" si="442"/>
        <v>Broken Wire (# Broken Subconductors)</v>
      </c>
      <c r="BE251" s="552">
        <f t="shared" si="443"/>
        <v>4</v>
      </c>
      <c r="BF251" s="554" t="str">
        <f t="shared" si="403"/>
        <v/>
      </c>
      <c r="BG251" s="554" t="str">
        <f t="shared" si="444"/>
        <v/>
      </c>
      <c r="BH251" s="552" t="str">
        <f t="shared" si="445"/>
        <v/>
      </c>
      <c r="BI251" s="554" t="str">
        <f t="shared" si="413"/>
        <v/>
      </c>
      <c r="BJ251" s="554" t="str">
        <f t="shared" si="446"/>
        <v/>
      </c>
      <c r="BK251" s="552" t="str">
        <f t="shared" si="447"/>
        <v/>
      </c>
      <c r="BL251" s="554" t="str">
        <f t="shared" si="416"/>
        <v/>
      </c>
      <c r="BM251" s="554" t="str">
        <f t="shared" si="448"/>
        <v/>
      </c>
      <c r="BN251" s="552" t="str">
        <f t="shared" si="449"/>
        <v/>
      </c>
      <c r="BO251" s="554" t="str">
        <f t="shared" si="419"/>
        <v/>
      </c>
      <c r="BP251" s="554" t="str">
        <f t="shared" si="450"/>
        <v/>
      </c>
      <c r="BQ251" s="552" t="str">
        <f t="shared" si="451"/>
        <v/>
      </c>
      <c r="BR251" s="554"/>
      <c r="BS251" s="554"/>
      <c r="BT251" s="554"/>
      <c r="BU251" s="554"/>
      <c r="BV251" s="554"/>
      <c r="BW251" s="554"/>
      <c r="BX251" s="554"/>
      <c r="BY251" s="554"/>
      <c r="BZ251" s="554"/>
      <c r="CA251" s="554"/>
      <c r="CB251" s="554"/>
      <c r="CC251" s="554"/>
      <c r="CD251" s="554"/>
      <c r="CE251" s="554"/>
      <c r="CF251" s="554"/>
      <c r="CG251" s="554"/>
      <c r="CH251" s="554"/>
      <c r="CI251" s="554"/>
      <c r="CJ251" s="554"/>
      <c r="CK251" s="554"/>
      <c r="CL251" s="554"/>
      <c r="CM251" s="554"/>
      <c r="CN251" s="554"/>
      <c r="CO251" s="554"/>
      <c r="CP251" s="554"/>
      <c r="CQ251" s="554"/>
      <c r="CR251" s="554"/>
      <c r="CS251" s="554"/>
      <c r="CT251" s="554"/>
      <c r="CU251" s="554"/>
      <c r="CV251" s="554"/>
      <c r="CW251" s="554"/>
      <c r="CX251" s="554"/>
      <c r="CY251" s="554"/>
      <c r="CZ251" s="554"/>
      <c r="DA251" s="554"/>
      <c r="DB251" s="554"/>
      <c r="DC251" s="554"/>
      <c r="DD251" s="554"/>
      <c r="DE251" s="534"/>
      <c r="DF251" s="534"/>
      <c r="DG251" s="534"/>
    </row>
    <row r="252" spans="1:111" ht="15" x14ac:dyDescent="0.25">
      <c r="A252" s="549">
        <f>IFERROR(IF(INDEX('Weather Cases'!$E$10:$E$94,MATCH('Load Criteria'!X252,'Weather Cases'!$H$10:$H$94,0),1)=1,1,"-"),"-")</f>
        <v>1</v>
      </c>
      <c r="B252" s="555" t="s">
        <v>558</v>
      </c>
      <c r="C252" s="555" t="s">
        <v>559</v>
      </c>
      <c r="D252" s="555" t="s">
        <v>579</v>
      </c>
      <c r="E252" s="555">
        <v>1</v>
      </c>
      <c r="F252" s="555" t="s">
        <v>580</v>
      </c>
      <c r="G252" s="556" t="str">
        <f>IFERROR(IF(MID('Load Criteria'!X252,FIND("_",'Load Criteria'!X252,1)+1,1)=LEFT(Control!$D$23,1),"YES","-"),"-")</f>
        <v>-</v>
      </c>
      <c r="H252" s="549" t="s">
        <v>22</v>
      </c>
      <c r="I252" s="557" t="s">
        <v>327</v>
      </c>
      <c r="J252" s="550">
        <f>Control!$D$25</f>
        <v>1</v>
      </c>
      <c r="K252" s="508" t="s">
        <v>571</v>
      </c>
      <c r="L252" s="508" t="s">
        <v>24</v>
      </c>
      <c r="M252" s="550">
        <v>7</v>
      </c>
      <c r="N252" s="550"/>
      <c r="O252" s="550"/>
      <c r="P252" s="392"/>
      <c r="Q252" s="392"/>
      <c r="R252" s="392"/>
      <c r="S252" s="392"/>
      <c r="T252" s="392"/>
      <c r="U252" s="255" t="s">
        <v>574</v>
      </c>
      <c r="V252" s="551"/>
      <c r="W252" s="542" t="str">
        <f t="shared" si="398"/>
        <v>RW0001_8+TA7 NA-</v>
      </c>
      <c r="X252" s="552" t="str">
        <f>I252&amp;TEXT(J252,"0000")&amp;"_"&amp;LEFT(Control!$D$22,LEN(Control!$D$22)-2)</f>
        <v>RW0001_8</v>
      </c>
      <c r="Y252" s="552" t="s">
        <v>433</v>
      </c>
      <c r="Z252" s="552" t="str">
        <f t="shared" si="404"/>
        <v>NA-</v>
      </c>
      <c r="AA252" s="552"/>
      <c r="AB252" s="552">
        <v>1</v>
      </c>
      <c r="AC252" s="552">
        <v>1</v>
      </c>
      <c r="AD252" s="552">
        <v>1</v>
      </c>
      <c r="AE252" s="552">
        <v>1</v>
      </c>
      <c r="AF252" s="552">
        <v>1</v>
      </c>
      <c r="AG252" s="542" t="s">
        <v>561</v>
      </c>
      <c r="AH252" s="552">
        <v>0</v>
      </c>
      <c r="AI252" s="552">
        <v>0</v>
      </c>
      <c r="AJ252" s="552">
        <v>1</v>
      </c>
      <c r="AK252" s="552">
        <v>1</v>
      </c>
      <c r="AL252" s="552">
        <v>1</v>
      </c>
      <c r="AM252" s="552">
        <v>0</v>
      </c>
      <c r="AN252" s="552">
        <v>0</v>
      </c>
      <c r="AO252" s="552">
        <v>1</v>
      </c>
      <c r="AP252" s="552">
        <v>1</v>
      </c>
      <c r="AQ252" s="552">
        <v>1</v>
      </c>
      <c r="AR252" s="552">
        <v>1</v>
      </c>
      <c r="AS252" s="552">
        <v>1</v>
      </c>
      <c r="AT252" s="552">
        <v>1</v>
      </c>
      <c r="AU252" s="552">
        <v>1</v>
      </c>
      <c r="AV252" s="592" t="s">
        <v>1132</v>
      </c>
      <c r="AW252" s="552" t="s">
        <v>562</v>
      </c>
      <c r="AX252" s="552"/>
      <c r="AY252" s="552" t="str">
        <f t="shared" si="401"/>
        <v>Yes</v>
      </c>
      <c r="AZ252" s="554" t="str">
        <f t="shared" si="405"/>
        <v>7:1:Ahead</v>
      </c>
      <c r="BA252" s="554" t="str">
        <f t="shared" si="406"/>
        <v>Broken Wire (# Broken Subconductors)</v>
      </c>
      <c r="BB252" s="552">
        <f t="shared" si="407"/>
        <v>4</v>
      </c>
      <c r="BC252" s="554" t="str">
        <f t="shared" si="408"/>
        <v>17:1:Ahead</v>
      </c>
      <c r="BD252" s="554" t="str">
        <f t="shared" si="409"/>
        <v>Broken Wire (# Broken Subconductors)</v>
      </c>
      <c r="BE252" s="552">
        <f t="shared" si="410"/>
        <v>4</v>
      </c>
      <c r="BF252" s="554" t="str">
        <f t="shared" si="403"/>
        <v/>
      </c>
      <c r="BG252" s="554" t="str">
        <f t="shared" si="411"/>
        <v/>
      </c>
      <c r="BH252" s="552" t="str">
        <f t="shared" si="412"/>
        <v/>
      </c>
      <c r="BI252" s="554" t="str">
        <f t="shared" si="413"/>
        <v/>
      </c>
      <c r="BJ252" s="554" t="str">
        <f t="shared" si="414"/>
        <v/>
      </c>
      <c r="BK252" s="552" t="str">
        <f t="shared" si="415"/>
        <v/>
      </c>
      <c r="BL252" s="554" t="str">
        <f t="shared" si="416"/>
        <v/>
      </c>
      <c r="BM252" s="554" t="str">
        <f t="shared" si="417"/>
        <v/>
      </c>
      <c r="BN252" s="552" t="str">
        <f t="shared" si="418"/>
        <v/>
      </c>
      <c r="BO252" s="554" t="str">
        <f t="shared" si="419"/>
        <v/>
      </c>
      <c r="BP252" s="554" t="str">
        <f t="shared" si="420"/>
        <v/>
      </c>
      <c r="BQ252" s="552" t="str">
        <f t="shared" si="421"/>
        <v/>
      </c>
      <c r="BR252" s="554"/>
      <c r="BS252" s="554"/>
      <c r="BT252" s="554"/>
      <c r="BU252" s="554"/>
      <c r="BV252" s="554"/>
      <c r="BW252" s="554"/>
      <c r="BX252" s="554"/>
      <c r="BY252" s="554"/>
      <c r="BZ252" s="554"/>
      <c r="CA252" s="554"/>
      <c r="CB252" s="554"/>
      <c r="CC252" s="554"/>
      <c r="CD252" s="554"/>
      <c r="CE252" s="554"/>
      <c r="CF252" s="554"/>
      <c r="CG252" s="554"/>
      <c r="CH252" s="554"/>
      <c r="CI252" s="554"/>
      <c r="CJ252" s="554"/>
      <c r="CK252" s="554"/>
      <c r="CL252" s="554"/>
      <c r="CM252" s="554"/>
      <c r="CN252" s="554"/>
      <c r="CO252" s="554"/>
      <c r="CP252" s="554"/>
      <c r="CQ252" s="554"/>
      <c r="CR252" s="554"/>
      <c r="CS252" s="554"/>
      <c r="CT252" s="554"/>
      <c r="CU252" s="554"/>
      <c r="CV252" s="554"/>
      <c r="CW252" s="554"/>
      <c r="CX252" s="554"/>
      <c r="CY252" s="554"/>
      <c r="CZ252" s="554"/>
      <c r="DA252" s="554"/>
      <c r="DB252" s="554"/>
      <c r="DC252" s="554"/>
      <c r="DD252" s="554"/>
      <c r="DE252" s="534"/>
      <c r="DF252" s="534"/>
      <c r="DG252" s="534"/>
    </row>
    <row r="253" spans="1:111" ht="15" x14ac:dyDescent="0.25">
      <c r="A253" s="549">
        <f>IFERROR(IF(INDEX('Weather Cases'!$E$10:$E$94,MATCH('Load Criteria'!X253,'Weather Cases'!$H$10:$H$94,0),1)=1,1,"-"),"-")</f>
        <v>1</v>
      </c>
      <c r="B253" s="555" t="s">
        <v>558</v>
      </c>
      <c r="C253" s="555" t="s">
        <v>559</v>
      </c>
      <c r="D253" s="555" t="s">
        <v>579</v>
      </c>
      <c r="E253" s="555">
        <v>1</v>
      </c>
      <c r="F253" s="555" t="s">
        <v>580</v>
      </c>
      <c r="G253" s="556" t="str">
        <f>IFERROR(IF(MID('Load Criteria'!X253,FIND("_",'Load Criteria'!X253,1)+1,1)=LEFT(Control!$D$23,1),"YES","-"),"-")</f>
        <v>-</v>
      </c>
      <c r="H253" s="549" t="s">
        <v>22</v>
      </c>
      <c r="I253" s="557" t="s">
        <v>327</v>
      </c>
      <c r="J253" s="550">
        <f>Control!$D$25</f>
        <v>1</v>
      </c>
      <c r="K253" s="508" t="s">
        <v>571</v>
      </c>
      <c r="L253" s="508" t="s">
        <v>40</v>
      </c>
      <c r="M253" s="550">
        <v>7</v>
      </c>
      <c r="N253" s="550"/>
      <c r="O253" s="550"/>
      <c r="P253" s="392"/>
      <c r="Q253" s="392"/>
      <c r="R253" s="392"/>
      <c r="S253" s="392"/>
      <c r="T253" s="392"/>
      <c r="U253" s="255" t="s">
        <v>574</v>
      </c>
      <c r="V253" s="551"/>
      <c r="W253" s="542" t="str">
        <f t="shared" si="398"/>
        <v>RW0001_8+TB7 NA-</v>
      </c>
      <c r="X253" s="552" t="str">
        <f>I253&amp;TEXT(J253,"0000")&amp;"_"&amp;LEFT(Control!$D$22,LEN(Control!$D$22)-2)</f>
        <v>RW0001_8</v>
      </c>
      <c r="Y253" s="552" t="s">
        <v>433</v>
      </c>
      <c r="Z253" s="552" t="str">
        <f t="shared" si="404"/>
        <v>NA-</v>
      </c>
      <c r="AA253" s="552"/>
      <c r="AB253" s="552">
        <v>1</v>
      </c>
      <c r="AC253" s="552">
        <v>1</v>
      </c>
      <c r="AD253" s="552">
        <v>1</v>
      </c>
      <c r="AE253" s="552">
        <v>1</v>
      </c>
      <c r="AF253" s="552">
        <v>1</v>
      </c>
      <c r="AG253" s="542" t="s">
        <v>561</v>
      </c>
      <c r="AH253" s="552">
        <v>0</v>
      </c>
      <c r="AI253" s="552">
        <v>0</v>
      </c>
      <c r="AJ253" s="552">
        <v>1</v>
      </c>
      <c r="AK253" s="552">
        <v>1</v>
      </c>
      <c r="AL253" s="552">
        <v>1</v>
      </c>
      <c r="AM253" s="552">
        <v>0</v>
      </c>
      <c r="AN253" s="552">
        <v>0</v>
      </c>
      <c r="AO253" s="552">
        <v>1</v>
      </c>
      <c r="AP253" s="552">
        <v>1</v>
      </c>
      <c r="AQ253" s="552">
        <v>1</v>
      </c>
      <c r="AR253" s="552">
        <v>1</v>
      </c>
      <c r="AS253" s="552">
        <v>1</v>
      </c>
      <c r="AT253" s="552">
        <v>1</v>
      </c>
      <c r="AU253" s="552">
        <v>1</v>
      </c>
      <c r="AV253" s="592" t="s">
        <v>1132</v>
      </c>
      <c r="AW253" s="552" t="s">
        <v>562</v>
      </c>
      <c r="AX253" s="552"/>
      <c r="AY253" s="552" t="str">
        <f t="shared" si="401"/>
        <v>Yes</v>
      </c>
      <c r="AZ253" s="554" t="str">
        <f t="shared" si="405"/>
        <v>7:1:Back</v>
      </c>
      <c r="BA253" s="554" t="str">
        <f t="shared" si="406"/>
        <v>Broken Wire (# Broken Subconductors)</v>
      </c>
      <c r="BB253" s="552">
        <f t="shared" si="407"/>
        <v>4</v>
      </c>
      <c r="BC253" s="554" t="str">
        <f t="shared" si="408"/>
        <v>17:1:Back</v>
      </c>
      <c r="BD253" s="554" t="str">
        <f t="shared" si="409"/>
        <v>Broken Wire (# Broken Subconductors)</v>
      </c>
      <c r="BE253" s="552">
        <f t="shared" si="410"/>
        <v>4</v>
      </c>
      <c r="BF253" s="554" t="str">
        <f t="shared" si="403"/>
        <v/>
      </c>
      <c r="BG253" s="554" t="str">
        <f t="shared" si="411"/>
        <v/>
      </c>
      <c r="BH253" s="552" t="str">
        <f t="shared" si="412"/>
        <v/>
      </c>
      <c r="BI253" s="554" t="str">
        <f t="shared" si="413"/>
        <v/>
      </c>
      <c r="BJ253" s="554" t="str">
        <f t="shared" si="414"/>
        <v/>
      </c>
      <c r="BK253" s="552" t="str">
        <f t="shared" si="415"/>
        <v/>
      </c>
      <c r="BL253" s="554" t="str">
        <f t="shared" si="416"/>
        <v/>
      </c>
      <c r="BM253" s="554" t="str">
        <f t="shared" si="417"/>
        <v/>
      </c>
      <c r="BN253" s="552" t="str">
        <f t="shared" si="418"/>
        <v/>
      </c>
      <c r="BO253" s="554" t="str">
        <f t="shared" si="419"/>
        <v/>
      </c>
      <c r="BP253" s="554" t="str">
        <f t="shared" si="420"/>
        <v/>
      </c>
      <c r="BQ253" s="552" t="str">
        <f t="shared" si="421"/>
        <v/>
      </c>
      <c r="BR253" s="554"/>
      <c r="BS253" s="554"/>
      <c r="BT253" s="554"/>
      <c r="BU253" s="554"/>
      <c r="BV253" s="554"/>
      <c r="BW253" s="554"/>
      <c r="BX253" s="554"/>
      <c r="BY253" s="554"/>
      <c r="BZ253" s="554"/>
      <c r="CA253" s="554"/>
      <c r="CB253" s="554"/>
      <c r="CC253" s="554"/>
      <c r="CD253" s="554"/>
      <c r="CE253" s="554"/>
      <c r="CF253" s="554"/>
      <c r="CG253" s="554"/>
      <c r="CH253" s="554"/>
      <c r="CI253" s="554"/>
      <c r="CJ253" s="554"/>
      <c r="CK253" s="554"/>
      <c r="CL253" s="554"/>
      <c r="CM253" s="554"/>
      <c r="CN253" s="554"/>
      <c r="CO253" s="554"/>
      <c r="CP253" s="554"/>
      <c r="CQ253" s="554"/>
      <c r="CR253" s="554"/>
      <c r="CS253" s="554"/>
      <c r="CT253" s="554"/>
      <c r="CU253" s="554"/>
      <c r="CV253" s="554"/>
      <c r="CW253" s="554"/>
      <c r="CX253" s="554"/>
      <c r="CY253" s="554"/>
      <c r="CZ253" s="554"/>
      <c r="DA253" s="554"/>
      <c r="DB253" s="554"/>
      <c r="DC253" s="554"/>
      <c r="DD253" s="554"/>
      <c r="DE253" s="534"/>
      <c r="DF253" s="534"/>
      <c r="DG253" s="534"/>
    </row>
    <row r="254" spans="1:111" ht="15" x14ac:dyDescent="0.25">
      <c r="A254" s="549">
        <f>IFERROR(IF(INDEX('Weather Cases'!$E$10:$E$94,MATCH('Load Criteria'!X254,'Weather Cases'!$H$10:$H$94,0),1)=1,1,"-"),"-")</f>
        <v>1</v>
      </c>
      <c r="B254" s="555" t="s">
        <v>558</v>
      </c>
      <c r="C254" s="555" t="s">
        <v>559</v>
      </c>
      <c r="D254" s="555" t="s">
        <v>579</v>
      </c>
      <c r="E254" s="555">
        <v>1</v>
      </c>
      <c r="F254" s="555" t="s">
        <v>581</v>
      </c>
      <c r="G254" s="556" t="str">
        <f>IFERROR(IF(MID('Load Criteria'!X254,FIND("_",'Load Criteria'!X254,1)+1,1)=LEFT(Control!$D$23,1),"YES","-"),"-")</f>
        <v>-</v>
      </c>
      <c r="H254" s="549" t="s">
        <v>22</v>
      </c>
      <c r="I254" s="557" t="s">
        <v>327</v>
      </c>
      <c r="J254" s="550">
        <f>Control!$D$25</f>
        <v>1</v>
      </c>
      <c r="K254" s="508" t="s">
        <v>571</v>
      </c>
      <c r="L254" s="508" t="s">
        <v>24</v>
      </c>
      <c r="M254" s="550">
        <v>8</v>
      </c>
      <c r="N254" s="550"/>
      <c r="O254" s="550"/>
      <c r="P254" s="392"/>
      <c r="Q254" s="392"/>
      <c r="R254" s="392"/>
      <c r="S254" s="392"/>
      <c r="T254" s="392"/>
      <c r="U254" s="255" t="s">
        <v>574</v>
      </c>
      <c r="V254" s="551"/>
      <c r="W254" s="542" t="str">
        <f t="shared" si="398"/>
        <v>RW0001_8+TA8 NA-</v>
      </c>
      <c r="X254" s="552" t="str">
        <f>I254&amp;TEXT(J254,"0000")&amp;"_"&amp;LEFT(Control!$D$22,LEN(Control!$D$22)-2)</f>
        <v>RW0001_8</v>
      </c>
      <c r="Y254" s="552" t="s">
        <v>433</v>
      </c>
      <c r="Z254" s="552" t="str">
        <f t="shared" si="404"/>
        <v>NA-</v>
      </c>
      <c r="AA254" s="552"/>
      <c r="AB254" s="552">
        <v>1</v>
      </c>
      <c r="AC254" s="552">
        <v>1</v>
      </c>
      <c r="AD254" s="552">
        <v>1</v>
      </c>
      <c r="AE254" s="552">
        <v>1</v>
      </c>
      <c r="AF254" s="552">
        <v>1</v>
      </c>
      <c r="AG254" s="542" t="s">
        <v>561</v>
      </c>
      <c r="AH254" s="552">
        <v>0</v>
      </c>
      <c r="AI254" s="552">
        <v>0</v>
      </c>
      <c r="AJ254" s="552">
        <v>1</v>
      </c>
      <c r="AK254" s="552">
        <v>1</v>
      </c>
      <c r="AL254" s="552">
        <v>1</v>
      </c>
      <c r="AM254" s="552">
        <v>0</v>
      </c>
      <c r="AN254" s="552">
        <v>0</v>
      </c>
      <c r="AO254" s="552">
        <v>1</v>
      </c>
      <c r="AP254" s="552">
        <v>1</v>
      </c>
      <c r="AQ254" s="552">
        <v>1</v>
      </c>
      <c r="AR254" s="552">
        <v>1</v>
      </c>
      <c r="AS254" s="552">
        <v>1</v>
      </c>
      <c r="AT254" s="552">
        <v>1</v>
      </c>
      <c r="AU254" s="552">
        <v>1</v>
      </c>
      <c r="AV254" s="592" t="s">
        <v>1132</v>
      </c>
      <c r="AW254" s="552" t="s">
        <v>562</v>
      </c>
      <c r="AX254" s="552"/>
      <c r="AY254" s="552" t="str">
        <f t="shared" si="401"/>
        <v>Yes</v>
      </c>
      <c r="AZ254" s="554" t="str">
        <f t="shared" si="405"/>
        <v>8:1:Ahead</v>
      </c>
      <c r="BA254" s="554" t="str">
        <f t="shared" si="406"/>
        <v>Broken Wire (# Broken Subconductors)</v>
      </c>
      <c r="BB254" s="552">
        <f t="shared" si="407"/>
        <v>4</v>
      </c>
      <c r="BC254" s="554" t="str">
        <f t="shared" si="408"/>
        <v>18:1:Ahead</v>
      </c>
      <c r="BD254" s="554" t="str">
        <f t="shared" si="409"/>
        <v>Broken Wire (# Broken Subconductors)</v>
      </c>
      <c r="BE254" s="552">
        <f t="shared" si="410"/>
        <v>4</v>
      </c>
      <c r="BF254" s="554" t="str">
        <f t="shared" si="403"/>
        <v/>
      </c>
      <c r="BG254" s="554" t="str">
        <f t="shared" si="411"/>
        <v/>
      </c>
      <c r="BH254" s="552" t="str">
        <f t="shared" si="412"/>
        <v/>
      </c>
      <c r="BI254" s="554" t="str">
        <f t="shared" si="413"/>
        <v/>
      </c>
      <c r="BJ254" s="554" t="str">
        <f t="shared" si="414"/>
        <v/>
      </c>
      <c r="BK254" s="552" t="str">
        <f t="shared" si="415"/>
        <v/>
      </c>
      <c r="BL254" s="554" t="str">
        <f t="shared" si="416"/>
        <v/>
      </c>
      <c r="BM254" s="554" t="str">
        <f t="shared" si="417"/>
        <v/>
      </c>
      <c r="BN254" s="552" t="str">
        <f t="shared" si="418"/>
        <v/>
      </c>
      <c r="BO254" s="554" t="str">
        <f t="shared" si="419"/>
        <v/>
      </c>
      <c r="BP254" s="554" t="str">
        <f t="shared" si="420"/>
        <v/>
      </c>
      <c r="BQ254" s="552" t="str">
        <f t="shared" si="421"/>
        <v/>
      </c>
      <c r="BR254" s="554"/>
      <c r="BS254" s="554"/>
      <c r="BT254" s="554"/>
      <c r="BU254" s="554"/>
      <c r="BV254" s="554"/>
      <c r="BW254" s="554"/>
      <c r="BX254" s="554"/>
      <c r="BY254" s="554"/>
      <c r="BZ254" s="554"/>
      <c r="CA254" s="554"/>
      <c r="CB254" s="554"/>
      <c r="CC254" s="554"/>
      <c r="CD254" s="554"/>
      <c r="CE254" s="554"/>
      <c r="CF254" s="554"/>
      <c r="CG254" s="554"/>
      <c r="CH254" s="554"/>
      <c r="CI254" s="554"/>
      <c r="CJ254" s="554"/>
      <c r="CK254" s="554"/>
      <c r="CL254" s="554"/>
      <c r="CM254" s="554"/>
      <c r="CN254" s="554"/>
      <c r="CO254" s="554"/>
      <c r="CP254" s="554"/>
      <c r="CQ254" s="554"/>
      <c r="CR254" s="554"/>
      <c r="CS254" s="554"/>
      <c r="CT254" s="554"/>
      <c r="CU254" s="554"/>
      <c r="CV254" s="554"/>
      <c r="CW254" s="554"/>
      <c r="CX254" s="554"/>
      <c r="CY254" s="554"/>
      <c r="CZ254" s="554"/>
      <c r="DA254" s="554"/>
      <c r="DB254" s="554"/>
      <c r="DC254" s="554"/>
      <c r="DD254" s="554"/>
      <c r="DE254" s="534"/>
      <c r="DF254" s="534"/>
      <c r="DG254" s="534"/>
    </row>
    <row r="255" spans="1:111" ht="15" x14ac:dyDescent="0.25">
      <c r="A255" s="549">
        <f>IFERROR(IF(INDEX('Weather Cases'!$E$10:$E$94,MATCH('Load Criteria'!X255,'Weather Cases'!$H$10:$H$94,0),1)=1,1,"-"),"-")</f>
        <v>1</v>
      </c>
      <c r="B255" s="555" t="s">
        <v>558</v>
      </c>
      <c r="C255" s="555" t="s">
        <v>559</v>
      </c>
      <c r="D255" s="555" t="s">
        <v>579</v>
      </c>
      <c r="E255" s="555">
        <v>1</v>
      </c>
      <c r="F255" s="555" t="s">
        <v>581</v>
      </c>
      <c r="G255" s="556" t="str">
        <f>IFERROR(IF(MID('Load Criteria'!X255,FIND("_",'Load Criteria'!X255,1)+1,1)=LEFT(Control!$D$23,1),"YES","-"),"-")</f>
        <v>-</v>
      </c>
      <c r="H255" s="549" t="s">
        <v>22</v>
      </c>
      <c r="I255" s="557" t="s">
        <v>327</v>
      </c>
      <c r="J255" s="550">
        <f>Control!$D$25</f>
        <v>1</v>
      </c>
      <c r="K255" s="508" t="s">
        <v>571</v>
      </c>
      <c r="L255" s="508" t="s">
        <v>40</v>
      </c>
      <c r="M255" s="550">
        <v>8</v>
      </c>
      <c r="N255" s="550"/>
      <c r="O255" s="550"/>
      <c r="P255" s="392"/>
      <c r="Q255" s="392"/>
      <c r="R255" s="392"/>
      <c r="S255" s="392"/>
      <c r="T255" s="392"/>
      <c r="U255" s="255" t="s">
        <v>574</v>
      </c>
      <c r="V255" s="551"/>
      <c r="W255" s="542" t="str">
        <f t="shared" si="398"/>
        <v>RW0001_8+TB8 NA-</v>
      </c>
      <c r="X255" s="552" t="str">
        <f>I255&amp;TEXT(J255,"0000")&amp;"_"&amp;LEFT(Control!$D$22,LEN(Control!$D$22)-2)</f>
        <v>RW0001_8</v>
      </c>
      <c r="Y255" s="552" t="s">
        <v>433</v>
      </c>
      <c r="Z255" s="552" t="str">
        <f>U255</f>
        <v>NA-</v>
      </c>
      <c r="AA255" s="552"/>
      <c r="AB255" s="552">
        <v>1</v>
      </c>
      <c r="AC255" s="552">
        <v>1</v>
      </c>
      <c r="AD255" s="552">
        <v>1</v>
      </c>
      <c r="AE255" s="552">
        <v>1</v>
      </c>
      <c r="AF255" s="552">
        <v>1</v>
      </c>
      <c r="AG255" s="542" t="s">
        <v>561</v>
      </c>
      <c r="AH255" s="552">
        <v>0</v>
      </c>
      <c r="AI255" s="552">
        <v>0</v>
      </c>
      <c r="AJ255" s="552">
        <v>1</v>
      </c>
      <c r="AK255" s="552">
        <v>1</v>
      </c>
      <c r="AL255" s="552">
        <v>1</v>
      </c>
      <c r="AM255" s="552">
        <v>0</v>
      </c>
      <c r="AN255" s="552">
        <v>0</v>
      </c>
      <c r="AO255" s="552">
        <v>1</v>
      </c>
      <c r="AP255" s="552">
        <v>1</v>
      </c>
      <c r="AQ255" s="552">
        <v>1</v>
      </c>
      <c r="AR255" s="552">
        <v>1</v>
      </c>
      <c r="AS255" s="552">
        <v>1</v>
      </c>
      <c r="AT255" s="552">
        <v>1</v>
      </c>
      <c r="AU255" s="552">
        <v>1</v>
      </c>
      <c r="AV255" s="592" t="s">
        <v>1132</v>
      </c>
      <c r="AW255" s="552" t="s">
        <v>562</v>
      </c>
      <c r="AX255" s="552"/>
      <c r="AY255" s="552" t="str">
        <f t="shared" si="401"/>
        <v>Yes</v>
      </c>
      <c r="AZ255" s="554" t="str">
        <f t="shared" si="405"/>
        <v>8:1:Back</v>
      </c>
      <c r="BA255" s="554" t="str">
        <f t="shared" si="406"/>
        <v>Broken Wire (# Broken Subconductors)</v>
      </c>
      <c r="BB255" s="552">
        <f>IF(AZ255="","",4)</f>
        <v>4</v>
      </c>
      <c r="BC255" s="554" t="str">
        <f t="shared" si="408"/>
        <v>18:1:Back</v>
      </c>
      <c r="BD255" s="554" t="str">
        <f t="shared" si="409"/>
        <v>Broken Wire (# Broken Subconductors)</v>
      </c>
      <c r="BE255" s="552">
        <f>IF(BC255="","",4)</f>
        <v>4</v>
      </c>
      <c r="BF255" s="554" t="str">
        <f t="shared" si="403"/>
        <v/>
      </c>
      <c r="BG255" s="554" t="str">
        <f t="shared" si="411"/>
        <v/>
      </c>
      <c r="BH255" s="552" t="str">
        <f>IF(BF255="","",4)</f>
        <v/>
      </c>
      <c r="BI255" s="554" t="str">
        <f t="shared" si="413"/>
        <v/>
      </c>
      <c r="BJ255" s="554" t="str">
        <f t="shared" si="414"/>
        <v/>
      </c>
      <c r="BK255" s="552" t="str">
        <f>IF(BI255="","",4)</f>
        <v/>
      </c>
      <c r="BL255" s="554" t="str">
        <f t="shared" si="416"/>
        <v/>
      </c>
      <c r="BM255" s="554" t="str">
        <f t="shared" si="417"/>
        <v/>
      </c>
      <c r="BN255" s="552" t="str">
        <f>IF(BL255="","",4)</f>
        <v/>
      </c>
      <c r="BO255" s="554" t="str">
        <f t="shared" si="419"/>
        <v/>
      </c>
      <c r="BP255" s="554" t="str">
        <f t="shared" si="420"/>
        <v/>
      </c>
      <c r="BQ255" s="552" t="str">
        <f>IF(BO255="","",4)</f>
        <v/>
      </c>
      <c r="BR255" s="554"/>
      <c r="BS255" s="554"/>
      <c r="BT255" s="554"/>
      <c r="BU255" s="554"/>
      <c r="BV255" s="554"/>
      <c r="BW255" s="554"/>
      <c r="BX255" s="554"/>
      <c r="BY255" s="554"/>
      <c r="BZ255" s="554"/>
      <c r="CA255" s="554"/>
      <c r="CB255" s="554"/>
      <c r="CC255" s="554"/>
      <c r="CD255" s="554"/>
      <c r="CE255" s="554"/>
      <c r="CF255" s="554"/>
      <c r="CG255" s="554"/>
      <c r="CH255" s="554"/>
      <c r="CI255" s="554"/>
      <c r="CJ255" s="554"/>
      <c r="CK255" s="554"/>
      <c r="CL255" s="554"/>
      <c r="CM255" s="554"/>
      <c r="CN255" s="554"/>
      <c r="CO255" s="554"/>
      <c r="CP255" s="554"/>
      <c r="CQ255" s="554"/>
      <c r="CR255" s="554"/>
      <c r="CS255" s="554"/>
      <c r="CT255" s="554"/>
      <c r="CU255" s="554"/>
      <c r="CV255" s="554"/>
      <c r="CW255" s="554"/>
      <c r="CX255" s="554"/>
      <c r="CY255" s="554"/>
      <c r="CZ255" s="554"/>
      <c r="DA255" s="554"/>
      <c r="DB255" s="554"/>
      <c r="DC255" s="554"/>
      <c r="DD255" s="554"/>
      <c r="DE255" s="534"/>
      <c r="DF255" s="534"/>
      <c r="DG255" s="534"/>
    </row>
    <row r="256" spans="1:111" ht="15" x14ac:dyDescent="0.25">
      <c r="A256" s="549">
        <f>IFERROR(IF(INDEX('Weather Cases'!$E$10:$E$94,MATCH('Load Criteria'!X256,'Weather Cases'!$H$10:$H$94,0),1)=1,1,"-"),"-")</f>
        <v>1</v>
      </c>
      <c r="B256" s="555" t="s">
        <v>558</v>
      </c>
      <c r="C256" s="555" t="s">
        <v>573</v>
      </c>
      <c r="D256" s="555" t="s">
        <v>579</v>
      </c>
      <c r="E256" s="555">
        <v>2</v>
      </c>
      <c r="F256" s="556" t="s">
        <v>22</v>
      </c>
      <c r="G256" s="556" t="str">
        <f>IFERROR(IF(MID('Load Criteria'!X256,FIND("_",'Load Criteria'!X256,1)+1,1)=LEFT(Control!$D$23,1),"YES","-"),"-")</f>
        <v>-</v>
      </c>
      <c r="H256" s="549" t="s">
        <v>22</v>
      </c>
      <c r="I256" s="557" t="s">
        <v>327</v>
      </c>
      <c r="J256" s="550">
        <f>Control!$D$25</f>
        <v>1</v>
      </c>
      <c r="K256" s="508" t="s">
        <v>571</v>
      </c>
      <c r="L256" s="508" t="s">
        <v>24</v>
      </c>
      <c r="M256" s="550">
        <v>1</v>
      </c>
      <c r="N256" s="550">
        <v>2</v>
      </c>
      <c r="O256" s="550"/>
      <c r="P256" s="392"/>
      <c r="Q256" s="392"/>
      <c r="R256" s="392"/>
      <c r="S256" s="392"/>
      <c r="T256" s="392"/>
      <c r="U256" s="255" t="s">
        <v>568</v>
      </c>
      <c r="V256" s="551"/>
      <c r="W256" s="542" t="str">
        <f t="shared" si="398"/>
        <v>RW0001_8+TA12 NA+</v>
      </c>
      <c r="X256" s="552" t="str">
        <f>I256&amp;TEXT(J256,"0000")&amp;"_"&amp;LEFT(Control!$D$22,LEN(Control!$D$22)-2)</f>
        <v>RW0001_8</v>
      </c>
      <c r="Y256" s="552" t="s">
        <v>433</v>
      </c>
      <c r="Z256" s="552" t="str">
        <f t="shared" ref="Z256:Z263" si="452">U256</f>
        <v>NA+</v>
      </c>
      <c r="AA256" s="552"/>
      <c r="AB256" s="552">
        <v>1</v>
      </c>
      <c r="AC256" s="552">
        <v>1</v>
      </c>
      <c r="AD256" s="552">
        <v>1</v>
      </c>
      <c r="AE256" s="552">
        <v>1</v>
      </c>
      <c r="AF256" s="552">
        <v>1</v>
      </c>
      <c r="AG256" s="542" t="s">
        <v>561</v>
      </c>
      <c r="AH256" s="552">
        <v>0</v>
      </c>
      <c r="AI256" s="552">
        <v>0</v>
      </c>
      <c r="AJ256" s="552">
        <v>1</v>
      </c>
      <c r="AK256" s="552">
        <v>1</v>
      </c>
      <c r="AL256" s="552">
        <v>1</v>
      </c>
      <c r="AM256" s="552">
        <v>0</v>
      </c>
      <c r="AN256" s="552">
        <v>0</v>
      </c>
      <c r="AO256" s="552">
        <v>1</v>
      </c>
      <c r="AP256" s="552">
        <v>1</v>
      </c>
      <c r="AQ256" s="552">
        <v>1</v>
      </c>
      <c r="AR256" s="552">
        <v>1</v>
      </c>
      <c r="AS256" s="552">
        <v>1</v>
      </c>
      <c r="AT256" s="552">
        <v>1</v>
      </c>
      <c r="AU256" s="552">
        <v>1</v>
      </c>
      <c r="AV256" s="553" t="str">
        <f>IF(H256="YES",IF($AV$2="Y","'"&amp;INDEX('Structure Groups'!$C$12:$C$14,MATCH($B$5,'Structure Groups'!$B$12:$B$14,0),1)&amp;"'","'"&amp;INDEX('Structure Groups'!$C$16:$C$18,MATCH($B$5,'Structure Groups'!$B$16:$B$18,0),1)&amp;"'"),IF($AV$2="Y","'All'","'Stop'"))</f>
        <v>'Stop'</v>
      </c>
      <c r="AW256" s="552" t="s">
        <v>562</v>
      </c>
      <c r="AX256" s="552"/>
      <c r="AY256" s="552" t="str">
        <f t="shared" si="401"/>
        <v>Yes</v>
      </c>
      <c r="AZ256" s="554" t="str">
        <f t="shared" si="405"/>
        <v>1:1:Ahead</v>
      </c>
      <c r="BA256" s="554" t="str">
        <f t="shared" si="406"/>
        <v>Broken Wire (# Broken Subconductors)</v>
      </c>
      <c r="BB256" s="552">
        <f t="shared" ref="BB256:BB263" si="453">IF(AZ256="","",4)</f>
        <v>4</v>
      </c>
      <c r="BC256" s="554" t="str">
        <f t="shared" si="408"/>
        <v>11:1:Ahead</v>
      </c>
      <c r="BD256" s="554" t="str">
        <f t="shared" si="409"/>
        <v>Broken Wire (# Broken Subconductors)</v>
      </c>
      <c r="BE256" s="552">
        <f t="shared" ref="BE256:BE263" si="454">IF(BC256="","",4)</f>
        <v>4</v>
      </c>
      <c r="BF256" s="554" t="str">
        <f t="shared" si="403"/>
        <v>2:1:Ahead</v>
      </c>
      <c r="BG256" s="554" t="str">
        <f t="shared" si="411"/>
        <v>Broken Wire (# Broken Subconductors)</v>
      </c>
      <c r="BH256" s="552">
        <f t="shared" ref="BH256:BH263" si="455">IF(BF256="","",4)</f>
        <v>4</v>
      </c>
      <c r="BI256" s="554" t="str">
        <f t="shared" si="413"/>
        <v>12:1:Ahead</v>
      </c>
      <c r="BJ256" s="554" t="str">
        <f t="shared" si="414"/>
        <v>Broken Wire (# Broken Subconductors)</v>
      </c>
      <c r="BK256" s="552">
        <f t="shared" ref="BK256:BK263" si="456">IF(BI256="","",4)</f>
        <v>4</v>
      </c>
      <c r="BL256" s="554" t="str">
        <f t="shared" si="416"/>
        <v/>
      </c>
      <c r="BM256" s="554" t="str">
        <f t="shared" si="417"/>
        <v/>
      </c>
      <c r="BN256" s="552" t="str">
        <f t="shared" ref="BN256:BN263" si="457">IF(BL256="","",4)</f>
        <v/>
      </c>
      <c r="BO256" s="554" t="str">
        <f t="shared" si="419"/>
        <v/>
      </c>
      <c r="BP256" s="554" t="str">
        <f t="shared" si="420"/>
        <v/>
      </c>
      <c r="BQ256" s="552" t="str">
        <f t="shared" ref="BQ256:BQ263" si="458">IF(BO256="","",4)</f>
        <v/>
      </c>
      <c r="BR256" s="554"/>
      <c r="BS256" s="554"/>
      <c r="BT256" s="554"/>
      <c r="BU256" s="554"/>
      <c r="BV256" s="554"/>
      <c r="BW256" s="554"/>
      <c r="BX256" s="554"/>
      <c r="BY256" s="554"/>
      <c r="BZ256" s="554"/>
      <c r="CA256" s="554"/>
      <c r="CB256" s="554"/>
      <c r="CC256" s="554"/>
      <c r="CD256" s="554"/>
      <c r="CE256" s="554"/>
      <c r="CF256" s="554"/>
      <c r="CG256" s="554"/>
      <c r="CH256" s="554"/>
      <c r="CI256" s="554"/>
      <c r="CJ256" s="554"/>
      <c r="CK256" s="554"/>
      <c r="CL256" s="554"/>
      <c r="CM256" s="554"/>
      <c r="CN256" s="554"/>
      <c r="CO256" s="554"/>
      <c r="CP256" s="554"/>
      <c r="CQ256" s="554"/>
      <c r="CR256" s="554"/>
      <c r="CS256" s="554"/>
      <c r="CT256" s="554"/>
      <c r="CU256" s="554"/>
      <c r="CV256" s="554"/>
      <c r="CW256" s="554"/>
      <c r="CX256" s="554"/>
      <c r="CY256" s="554"/>
      <c r="CZ256" s="554"/>
      <c r="DA256" s="554"/>
      <c r="DB256" s="554"/>
      <c r="DC256" s="554"/>
      <c r="DD256" s="554"/>
      <c r="DE256" s="534"/>
      <c r="DF256" s="534"/>
      <c r="DG256" s="534"/>
    </row>
    <row r="257" spans="1:111" ht="15" x14ac:dyDescent="0.25">
      <c r="A257" s="549">
        <f>IFERROR(IF(INDEX('Weather Cases'!$E$10:$E$94,MATCH('Load Criteria'!X257,'Weather Cases'!$H$10:$H$94,0),1)=1,1,"-"),"-")</f>
        <v>1</v>
      </c>
      <c r="B257" s="555" t="s">
        <v>558</v>
      </c>
      <c r="C257" s="555" t="s">
        <v>573</v>
      </c>
      <c r="D257" s="555" t="s">
        <v>579</v>
      </c>
      <c r="E257" s="555">
        <v>2</v>
      </c>
      <c r="F257" s="556" t="s">
        <v>22</v>
      </c>
      <c r="G257" s="556" t="str">
        <f>IFERROR(IF(MID('Load Criteria'!X257,FIND("_",'Load Criteria'!X257,1)+1,1)=LEFT(Control!$D$23,1),"YES","-"),"-")</f>
        <v>-</v>
      </c>
      <c r="H257" s="549" t="s">
        <v>22</v>
      </c>
      <c r="I257" s="557" t="s">
        <v>327</v>
      </c>
      <c r="J257" s="550">
        <f>Control!$D$25</f>
        <v>1</v>
      </c>
      <c r="K257" s="508" t="s">
        <v>571</v>
      </c>
      <c r="L257" s="508" t="s">
        <v>24</v>
      </c>
      <c r="M257" s="550">
        <v>2</v>
      </c>
      <c r="N257" s="550">
        <v>3</v>
      </c>
      <c r="O257" s="550"/>
      <c r="P257" s="392"/>
      <c r="Q257" s="392"/>
      <c r="R257" s="392"/>
      <c r="S257" s="392"/>
      <c r="T257" s="392"/>
      <c r="U257" s="255" t="s">
        <v>568</v>
      </c>
      <c r="V257" s="551"/>
      <c r="W257" s="542" t="str">
        <f t="shared" si="398"/>
        <v>RW0001_8+TA23 NA+</v>
      </c>
      <c r="X257" s="552" t="str">
        <f>I257&amp;TEXT(J257,"0000")&amp;"_"&amp;LEFT(Control!$D$22,LEN(Control!$D$22)-2)</f>
        <v>RW0001_8</v>
      </c>
      <c r="Y257" s="552" t="s">
        <v>433</v>
      </c>
      <c r="Z257" s="552" t="str">
        <f t="shared" si="452"/>
        <v>NA+</v>
      </c>
      <c r="AA257" s="552"/>
      <c r="AB257" s="552">
        <v>1</v>
      </c>
      <c r="AC257" s="552">
        <v>1</v>
      </c>
      <c r="AD257" s="552">
        <v>1</v>
      </c>
      <c r="AE257" s="552">
        <v>1</v>
      </c>
      <c r="AF257" s="552">
        <v>1</v>
      </c>
      <c r="AG257" s="542" t="s">
        <v>561</v>
      </c>
      <c r="AH257" s="552">
        <v>0</v>
      </c>
      <c r="AI257" s="552">
        <v>0</v>
      </c>
      <c r="AJ257" s="552">
        <v>1</v>
      </c>
      <c r="AK257" s="552">
        <v>1</v>
      </c>
      <c r="AL257" s="552">
        <v>1</v>
      </c>
      <c r="AM257" s="552">
        <v>0</v>
      </c>
      <c r="AN257" s="552">
        <v>0</v>
      </c>
      <c r="AO257" s="552">
        <v>1</v>
      </c>
      <c r="AP257" s="552">
        <v>1</v>
      </c>
      <c r="AQ257" s="552">
        <v>1</v>
      </c>
      <c r="AR257" s="552">
        <v>1</v>
      </c>
      <c r="AS257" s="552">
        <v>1</v>
      </c>
      <c r="AT257" s="552">
        <v>1</v>
      </c>
      <c r="AU257" s="552">
        <v>1</v>
      </c>
      <c r="AV257" s="553" t="str">
        <f>IF(H257="YES",IF($AV$2="Y","'"&amp;INDEX('Structure Groups'!$C$12:$C$14,MATCH($B$5,'Structure Groups'!$B$12:$B$14,0),1)&amp;"'","'"&amp;INDEX('Structure Groups'!$C$16:$C$18,MATCH($B$5,'Structure Groups'!$B$16:$B$18,0),1)&amp;"'"),IF($AV$2="Y","'All'","'Stop'"))</f>
        <v>'Stop'</v>
      </c>
      <c r="AW257" s="552" t="s">
        <v>562</v>
      </c>
      <c r="AX257" s="552"/>
      <c r="AY257" s="552" t="str">
        <f t="shared" si="401"/>
        <v>Yes</v>
      </c>
      <c r="AZ257" s="554" t="str">
        <f t="shared" si="405"/>
        <v>2:1:Ahead</v>
      </c>
      <c r="BA257" s="554" t="str">
        <f t="shared" si="406"/>
        <v>Broken Wire (# Broken Subconductors)</v>
      </c>
      <c r="BB257" s="552">
        <f t="shared" si="453"/>
        <v>4</v>
      </c>
      <c r="BC257" s="554" t="str">
        <f t="shared" si="408"/>
        <v>12:1:Ahead</v>
      </c>
      <c r="BD257" s="554" t="str">
        <f t="shared" si="409"/>
        <v>Broken Wire (# Broken Subconductors)</v>
      </c>
      <c r="BE257" s="552">
        <f t="shared" si="454"/>
        <v>4</v>
      </c>
      <c r="BF257" s="554" t="str">
        <f t="shared" si="403"/>
        <v>3:1:Ahead</v>
      </c>
      <c r="BG257" s="554" t="str">
        <f t="shared" si="411"/>
        <v>Broken Wire (# Broken Subconductors)</v>
      </c>
      <c r="BH257" s="552">
        <f t="shared" si="455"/>
        <v>4</v>
      </c>
      <c r="BI257" s="554" t="str">
        <f t="shared" si="413"/>
        <v>13:1:Ahead</v>
      </c>
      <c r="BJ257" s="554" t="str">
        <f t="shared" si="414"/>
        <v>Broken Wire (# Broken Subconductors)</v>
      </c>
      <c r="BK257" s="552">
        <f t="shared" si="456"/>
        <v>4</v>
      </c>
      <c r="BL257" s="554" t="str">
        <f t="shared" si="416"/>
        <v/>
      </c>
      <c r="BM257" s="554" t="str">
        <f t="shared" si="417"/>
        <v/>
      </c>
      <c r="BN257" s="552" t="str">
        <f t="shared" si="457"/>
        <v/>
      </c>
      <c r="BO257" s="554" t="str">
        <f t="shared" si="419"/>
        <v/>
      </c>
      <c r="BP257" s="554" t="str">
        <f t="shared" si="420"/>
        <v/>
      </c>
      <c r="BQ257" s="552" t="str">
        <f t="shared" si="458"/>
        <v/>
      </c>
      <c r="BR257" s="554"/>
      <c r="BS257" s="554"/>
      <c r="BT257" s="554"/>
      <c r="BU257" s="554"/>
      <c r="BV257" s="554"/>
      <c r="BW257" s="554"/>
      <c r="BX257" s="554"/>
      <c r="BY257" s="554"/>
      <c r="BZ257" s="554"/>
      <c r="CA257" s="554"/>
      <c r="CB257" s="554"/>
      <c r="CC257" s="554"/>
      <c r="CD257" s="554"/>
      <c r="CE257" s="554"/>
      <c r="CF257" s="554"/>
      <c r="CG257" s="554"/>
      <c r="CH257" s="554"/>
      <c r="CI257" s="554"/>
      <c r="CJ257" s="554"/>
      <c r="CK257" s="554"/>
      <c r="CL257" s="554"/>
      <c r="CM257" s="554"/>
      <c r="CN257" s="554"/>
      <c r="CO257" s="554"/>
      <c r="CP257" s="554"/>
      <c r="CQ257" s="554"/>
      <c r="CR257" s="554"/>
      <c r="CS257" s="554"/>
      <c r="CT257" s="554"/>
      <c r="CU257" s="554"/>
      <c r="CV257" s="554"/>
      <c r="CW257" s="554"/>
      <c r="CX257" s="554"/>
      <c r="CY257" s="554"/>
      <c r="CZ257" s="554"/>
      <c r="DA257" s="554"/>
      <c r="DB257" s="554"/>
      <c r="DC257" s="554"/>
      <c r="DD257" s="554"/>
      <c r="DE257" s="534"/>
      <c r="DF257" s="534"/>
      <c r="DG257" s="534"/>
    </row>
    <row r="258" spans="1:111" ht="15" x14ac:dyDescent="0.25">
      <c r="A258" s="549">
        <f>IFERROR(IF(INDEX('Weather Cases'!$E$10:$E$94,MATCH('Load Criteria'!X258,'Weather Cases'!$H$10:$H$94,0),1)=1,1,"-"),"-")</f>
        <v>1</v>
      </c>
      <c r="B258" s="555" t="s">
        <v>558</v>
      </c>
      <c r="C258" s="555" t="s">
        <v>573</v>
      </c>
      <c r="D258" s="555" t="s">
        <v>579</v>
      </c>
      <c r="E258" s="555">
        <v>2</v>
      </c>
      <c r="F258" s="556" t="s">
        <v>22</v>
      </c>
      <c r="G258" s="556" t="str">
        <f>IFERROR(IF(MID('Load Criteria'!X258,FIND("_",'Load Criteria'!X258,1)+1,1)=LEFT(Control!$D$23,1),"YES","-"),"-")</f>
        <v>-</v>
      </c>
      <c r="H258" s="549" t="s">
        <v>22</v>
      </c>
      <c r="I258" s="557" t="s">
        <v>327</v>
      </c>
      <c r="J258" s="550">
        <f>Control!$D$25</f>
        <v>1</v>
      </c>
      <c r="K258" s="508" t="s">
        <v>571</v>
      </c>
      <c r="L258" s="508" t="s">
        <v>24</v>
      </c>
      <c r="M258" s="550">
        <v>1</v>
      </c>
      <c r="N258" s="550">
        <v>3</v>
      </c>
      <c r="O258" s="550"/>
      <c r="P258" s="392"/>
      <c r="Q258" s="392"/>
      <c r="R258" s="392"/>
      <c r="S258" s="392"/>
      <c r="T258" s="392"/>
      <c r="U258" s="255" t="s">
        <v>568</v>
      </c>
      <c r="V258" s="551"/>
      <c r="W258" s="542" t="str">
        <f t="shared" si="398"/>
        <v>RW0001_8+TA13 NA+</v>
      </c>
      <c r="X258" s="552" t="str">
        <f>I258&amp;TEXT(J258,"0000")&amp;"_"&amp;LEFT(Control!$D$22,LEN(Control!$D$22)-2)</f>
        <v>RW0001_8</v>
      </c>
      <c r="Y258" s="552" t="s">
        <v>433</v>
      </c>
      <c r="Z258" s="552" t="str">
        <f>U258</f>
        <v>NA+</v>
      </c>
      <c r="AA258" s="552"/>
      <c r="AB258" s="552">
        <v>1</v>
      </c>
      <c r="AC258" s="552">
        <v>1</v>
      </c>
      <c r="AD258" s="552">
        <v>1</v>
      </c>
      <c r="AE258" s="552">
        <v>1</v>
      </c>
      <c r="AF258" s="552">
        <v>1</v>
      </c>
      <c r="AG258" s="542" t="s">
        <v>561</v>
      </c>
      <c r="AH258" s="552">
        <v>0</v>
      </c>
      <c r="AI258" s="552">
        <v>0</v>
      </c>
      <c r="AJ258" s="552">
        <v>1</v>
      </c>
      <c r="AK258" s="552">
        <v>1</v>
      </c>
      <c r="AL258" s="552">
        <v>1</v>
      </c>
      <c r="AM258" s="552">
        <v>0</v>
      </c>
      <c r="AN258" s="552">
        <v>0</v>
      </c>
      <c r="AO258" s="552">
        <v>1</v>
      </c>
      <c r="AP258" s="552">
        <v>1</v>
      </c>
      <c r="AQ258" s="552">
        <v>1</v>
      </c>
      <c r="AR258" s="552">
        <v>1</v>
      </c>
      <c r="AS258" s="552">
        <v>1</v>
      </c>
      <c r="AT258" s="552">
        <v>1</v>
      </c>
      <c r="AU258" s="552">
        <v>1</v>
      </c>
      <c r="AV258" s="553" t="str">
        <f>IF(H258="YES",IF($AV$2="Y","'"&amp;INDEX('Structure Groups'!$C$12:$C$14,MATCH($B$5,'Structure Groups'!$B$12:$B$14,0),1)&amp;"'","'"&amp;INDEX('Structure Groups'!$C$16:$C$18,MATCH($B$5,'Structure Groups'!$B$16:$B$18,0),1)&amp;"'"),IF($AV$2="Y","'All'","'Stop'"))</f>
        <v>'Stop'</v>
      </c>
      <c r="AW258" s="552" t="s">
        <v>562</v>
      </c>
      <c r="AX258" s="552"/>
      <c r="AY258" s="552" t="str">
        <f t="shared" si="401"/>
        <v>Yes</v>
      </c>
      <c r="AZ258" s="554" t="str">
        <f t="shared" si="405"/>
        <v>1:1:Ahead</v>
      </c>
      <c r="BA258" s="554" t="str">
        <f t="shared" si="406"/>
        <v>Broken Wire (# Broken Subconductors)</v>
      </c>
      <c r="BB258" s="552">
        <f>IF(AZ258="","",4)</f>
        <v>4</v>
      </c>
      <c r="BC258" s="554" t="str">
        <f t="shared" si="408"/>
        <v>11:1:Ahead</v>
      </c>
      <c r="BD258" s="554" t="str">
        <f t="shared" si="409"/>
        <v>Broken Wire (# Broken Subconductors)</v>
      </c>
      <c r="BE258" s="552">
        <f>IF(BC258="","",4)</f>
        <v>4</v>
      </c>
      <c r="BF258" s="554" t="str">
        <f t="shared" si="403"/>
        <v>3:1:Ahead</v>
      </c>
      <c r="BG258" s="554" t="str">
        <f t="shared" si="411"/>
        <v>Broken Wire (# Broken Subconductors)</v>
      </c>
      <c r="BH258" s="552">
        <f>IF(BF258="","",4)</f>
        <v>4</v>
      </c>
      <c r="BI258" s="554" t="str">
        <f t="shared" si="413"/>
        <v>13:1:Ahead</v>
      </c>
      <c r="BJ258" s="554" t="str">
        <f t="shared" si="414"/>
        <v>Broken Wire (# Broken Subconductors)</v>
      </c>
      <c r="BK258" s="552">
        <f>IF(BI258="","",4)</f>
        <v>4</v>
      </c>
      <c r="BL258" s="554" t="str">
        <f t="shared" si="416"/>
        <v/>
      </c>
      <c r="BM258" s="554" t="str">
        <f t="shared" si="417"/>
        <v/>
      </c>
      <c r="BN258" s="552" t="str">
        <f>IF(BL258="","",4)</f>
        <v/>
      </c>
      <c r="BO258" s="554" t="str">
        <f t="shared" si="419"/>
        <v/>
      </c>
      <c r="BP258" s="554" t="str">
        <f t="shared" si="420"/>
        <v/>
      </c>
      <c r="BQ258" s="552" t="str">
        <f>IF(BO258="","",4)</f>
        <v/>
      </c>
      <c r="BR258" s="554"/>
      <c r="BS258" s="554"/>
      <c r="BT258" s="554"/>
      <c r="BU258" s="554"/>
      <c r="BV258" s="554"/>
      <c r="BW258" s="554"/>
      <c r="BX258" s="554"/>
      <c r="BY258" s="554"/>
      <c r="BZ258" s="554"/>
      <c r="CA258" s="554"/>
      <c r="CB258" s="554"/>
      <c r="CC258" s="554"/>
      <c r="CD258" s="554"/>
      <c r="CE258" s="554"/>
      <c r="CF258" s="554"/>
      <c r="CG258" s="554"/>
      <c r="CH258" s="554"/>
      <c r="CI258" s="554"/>
      <c r="CJ258" s="554"/>
      <c r="CK258" s="554"/>
      <c r="CL258" s="554"/>
      <c r="CM258" s="554"/>
      <c r="CN258" s="554"/>
      <c r="CO258" s="554"/>
      <c r="CP258" s="554"/>
      <c r="CQ258" s="554"/>
      <c r="CR258" s="554"/>
      <c r="CS258" s="554"/>
      <c r="CT258" s="554"/>
      <c r="CU258" s="554"/>
      <c r="CV258" s="554"/>
      <c r="CW258" s="554"/>
      <c r="CX258" s="554"/>
      <c r="CY258" s="554"/>
      <c r="CZ258" s="554"/>
      <c r="DA258" s="554"/>
      <c r="DB258" s="554"/>
      <c r="DC258" s="554"/>
      <c r="DD258" s="554"/>
      <c r="DE258" s="534"/>
      <c r="DF258" s="534"/>
      <c r="DG258" s="534"/>
    </row>
    <row r="259" spans="1:111" ht="15" x14ac:dyDescent="0.25">
      <c r="A259" s="549">
        <f>IFERROR(IF(INDEX('Weather Cases'!$E$10:$E$94,MATCH('Load Criteria'!X259,'Weather Cases'!$H$10:$H$94,0),1)=1,1,"-"),"-")</f>
        <v>1</v>
      </c>
      <c r="B259" s="555" t="s">
        <v>558</v>
      </c>
      <c r="C259" s="555" t="s">
        <v>573</v>
      </c>
      <c r="D259" s="555" t="s">
        <v>579</v>
      </c>
      <c r="E259" s="555">
        <v>2</v>
      </c>
      <c r="F259" s="555" t="s">
        <v>580</v>
      </c>
      <c r="G259" s="556" t="str">
        <f>IFERROR(IF(MID('Load Criteria'!X259,FIND("_",'Load Criteria'!X259,1)+1,1)=LEFT(Control!$D$23,1),"YES","-"),"-")</f>
        <v>-</v>
      </c>
      <c r="H259" s="549" t="s">
        <v>22</v>
      </c>
      <c r="I259" s="557" t="s">
        <v>327</v>
      </c>
      <c r="J259" s="550">
        <f>Control!$D$25</f>
        <v>1</v>
      </c>
      <c r="K259" s="508" t="s">
        <v>571</v>
      </c>
      <c r="L259" s="508" t="s">
        <v>24</v>
      </c>
      <c r="M259" s="550">
        <v>3</v>
      </c>
      <c r="N259" s="550">
        <v>7</v>
      </c>
      <c r="O259" s="550"/>
      <c r="P259" s="392"/>
      <c r="Q259" s="392"/>
      <c r="R259" s="392"/>
      <c r="S259" s="392"/>
      <c r="T259" s="392"/>
      <c r="U259" s="255" t="s">
        <v>568</v>
      </c>
      <c r="V259" s="551"/>
      <c r="W259" s="542" t="str">
        <f t="shared" si="398"/>
        <v>RW0001_8+TA37 NA+</v>
      </c>
      <c r="X259" s="552" t="str">
        <f>I259&amp;TEXT(J259,"0000")&amp;"_"&amp;LEFT(Control!$D$22,LEN(Control!$D$22)-2)</f>
        <v>RW0001_8</v>
      </c>
      <c r="Y259" s="552" t="s">
        <v>433</v>
      </c>
      <c r="Z259" s="552" t="str">
        <f t="shared" si="452"/>
        <v>NA+</v>
      </c>
      <c r="AA259" s="552"/>
      <c r="AB259" s="552">
        <v>1</v>
      </c>
      <c r="AC259" s="552">
        <v>1</v>
      </c>
      <c r="AD259" s="552">
        <v>1</v>
      </c>
      <c r="AE259" s="552">
        <v>1</v>
      </c>
      <c r="AF259" s="552">
        <v>1</v>
      </c>
      <c r="AG259" s="542" t="s">
        <v>561</v>
      </c>
      <c r="AH259" s="552">
        <v>0</v>
      </c>
      <c r="AI259" s="552">
        <v>0</v>
      </c>
      <c r="AJ259" s="552">
        <v>1</v>
      </c>
      <c r="AK259" s="552">
        <v>1</v>
      </c>
      <c r="AL259" s="552">
        <v>1</v>
      </c>
      <c r="AM259" s="552">
        <v>0</v>
      </c>
      <c r="AN259" s="552">
        <v>0</v>
      </c>
      <c r="AO259" s="552">
        <v>1</v>
      </c>
      <c r="AP259" s="552">
        <v>1</v>
      </c>
      <c r="AQ259" s="552">
        <v>1</v>
      </c>
      <c r="AR259" s="552">
        <v>1</v>
      </c>
      <c r="AS259" s="552">
        <v>1</v>
      </c>
      <c r="AT259" s="552">
        <v>1</v>
      </c>
      <c r="AU259" s="552">
        <v>1</v>
      </c>
      <c r="AV259" s="553" t="str">
        <f>IF(H259="YES",IF($AV$2="Y","'"&amp;INDEX('Structure Groups'!$C$12:$C$14,MATCH($B$5,'Structure Groups'!$B$12:$B$14,0),1)&amp;"'","'"&amp;INDEX('Structure Groups'!$C$16:$C$18,MATCH($B$5,'Structure Groups'!$B$16:$B$18,0),1)&amp;"'"),IF($AV$2="Y","'All'","'Stop'"))</f>
        <v>'Stop'</v>
      </c>
      <c r="AW259" s="552" t="s">
        <v>562</v>
      </c>
      <c r="AX259" s="552"/>
      <c r="AY259" s="552" t="str">
        <f t="shared" si="401"/>
        <v>Yes</v>
      </c>
      <c r="AZ259" s="554" t="str">
        <f t="shared" si="405"/>
        <v>3:1:Ahead</v>
      </c>
      <c r="BA259" s="554" t="str">
        <f t="shared" si="406"/>
        <v>Broken Wire (# Broken Subconductors)</v>
      </c>
      <c r="BB259" s="552">
        <f t="shared" si="453"/>
        <v>4</v>
      </c>
      <c r="BC259" s="554" t="str">
        <f t="shared" si="408"/>
        <v>13:1:Ahead</v>
      </c>
      <c r="BD259" s="554" t="str">
        <f t="shared" si="409"/>
        <v>Broken Wire (# Broken Subconductors)</v>
      </c>
      <c r="BE259" s="552">
        <f t="shared" si="454"/>
        <v>4</v>
      </c>
      <c r="BF259" s="554" t="str">
        <f t="shared" si="403"/>
        <v>7:1:Ahead</v>
      </c>
      <c r="BG259" s="554" t="str">
        <f t="shared" si="411"/>
        <v>Broken Wire (# Broken Subconductors)</v>
      </c>
      <c r="BH259" s="552">
        <f t="shared" si="455"/>
        <v>4</v>
      </c>
      <c r="BI259" s="554" t="str">
        <f t="shared" si="413"/>
        <v>17:1:Ahead</v>
      </c>
      <c r="BJ259" s="554" t="str">
        <f t="shared" si="414"/>
        <v>Broken Wire (# Broken Subconductors)</v>
      </c>
      <c r="BK259" s="552">
        <f t="shared" si="456"/>
        <v>4</v>
      </c>
      <c r="BL259" s="554" t="str">
        <f t="shared" si="416"/>
        <v/>
      </c>
      <c r="BM259" s="554" t="str">
        <f t="shared" si="417"/>
        <v/>
      </c>
      <c r="BN259" s="552" t="str">
        <f t="shared" si="457"/>
        <v/>
      </c>
      <c r="BO259" s="554" t="str">
        <f t="shared" si="419"/>
        <v/>
      </c>
      <c r="BP259" s="554" t="str">
        <f t="shared" si="420"/>
        <v/>
      </c>
      <c r="BQ259" s="552" t="str">
        <f t="shared" si="458"/>
        <v/>
      </c>
      <c r="BR259" s="554"/>
      <c r="BS259" s="554"/>
      <c r="BT259" s="554"/>
      <c r="BU259" s="554"/>
      <c r="BV259" s="554"/>
      <c r="BW259" s="554"/>
      <c r="BX259" s="554"/>
      <c r="BY259" s="554"/>
      <c r="BZ259" s="554"/>
      <c r="CA259" s="554"/>
      <c r="CB259" s="554"/>
      <c r="CC259" s="554"/>
      <c r="CD259" s="554"/>
      <c r="CE259" s="554"/>
      <c r="CF259" s="554"/>
      <c r="CG259" s="554"/>
      <c r="CH259" s="554"/>
      <c r="CI259" s="554"/>
      <c r="CJ259" s="554"/>
      <c r="CK259" s="554"/>
      <c r="CL259" s="554"/>
      <c r="CM259" s="554"/>
      <c r="CN259" s="554"/>
      <c r="CO259" s="554"/>
      <c r="CP259" s="554"/>
      <c r="CQ259" s="554"/>
      <c r="CR259" s="554"/>
      <c r="CS259" s="554"/>
      <c r="CT259" s="554"/>
      <c r="CU259" s="554"/>
      <c r="CV259" s="554"/>
      <c r="CW259" s="554"/>
      <c r="CX259" s="554"/>
      <c r="CY259" s="554"/>
      <c r="CZ259" s="554"/>
      <c r="DA259" s="554"/>
      <c r="DB259" s="554"/>
      <c r="DC259" s="554"/>
      <c r="DD259" s="554"/>
      <c r="DE259" s="534"/>
      <c r="DF259" s="534"/>
      <c r="DG259" s="534"/>
    </row>
    <row r="260" spans="1:111" ht="15" x14ac:dyDescent="0.25">
      <c r="A260" s="549">
        <f>IFERROR(IF(INDEX('Weather Cases'!$E$10:$E$94,MATCH('Load Criteria'!X260,'Weather Cases'!$H$10:$H$94,0),1)=1,1,"-"),"-")</f>
        <v>1</v>
      </c>
      <c r="B260" s="555" t="s">
        <v>558</v>
      </c>
      <c r="C260" s="555" t="s">
        <v>573</v>
      </c>
      <c r="D260" s="555" t="s">
        <v>579</v>
      </c>
      <c r="E260" s="555">
        <v>2</v>
      </c>
      <c r="F260" s="556" t="s">
        <v>22</v>
      </c>
      <c r="G260" s="556" t="str">
        <f>IFERROR(IF(MID('Load Criteria'!X260,FIND("_",'Load Criteria'!X260,1)+1,1)=LEFT(Control!$D$23,1),"YES","-"),"-")</f>
        <v>-</v>
      </c>
      <c r="H260" s="549" t="s">
        <v>22</v>
      </c>
      <c r="I260" s="557" t="s">
        <v>327</v>
      </c>
      <c r="J260" s="550">
        <f>Control!$D$25</f>
        <v>1</v>
      </c>
      <c r="K260" s="508" t="s">
        <v>571</v>
      </c>
      <c r="L260" s="508" t="s">
        <v>24</v>
      </c>
      <c r="M260" s="550">
        <v>4</v>
      </c>
      <c r="N260" s="550">
        <v>5</v>
      </c>
      <c r="O260" s="550"/>
      <c r="P260" s="392"/>
      <c r="Q260" s="392"/>
      <c r="R260" s="392"/>
      <c r="S260" s="392"/>
      <c r="T260" s="392"/>
      <c r="U260" s="255" t="s">
        <v>568</v>
      </c>
      <c r="V260" s="551"/>
      <c r="W260" s="542" t="str">
        <f t="shared" si="398"/>
        <v>RW0001_8+TA45 NA+</v>
      </c>
      <c r="X260" s="552" t="str">
        <f>I260&amp;TEXT(J260,"0000")&amp;"_"&amp;LEFT(Control!$D$22,LEN(Control!$D$22)-2)</f>
        <v>RW0001_8</v>
      </c>
      <c r="Y260" s="552" t="s">
        <v>433</v>
      </c>
      <c r="Z260" s="552" t="str">
        <f t="shared" si="452"/>
        <v>NA+</v>
      </c>
      <c r="AA260" s="552"/>
      <c r="AB260" s="552">
        <v>1</v>
      </c>
      <c r="AC260" s="552">
        <v>1</v>
      </c>
      <c r="AD260" s="552">
        <v>1</v>
      </c>
      <c r="AE260" s="552">
        <v>1</v>
      </c>
      <c r="AF260" s="552">
        <v>1</v>
      </c>
      <c r="AG260" s="542" t="s">
        <v>561</v>
      </c>
      <c r="AH260" s="552">
        <v>0</v>
      </c>
      <c r="AI260" s="552">
        <v>0</v>
      </c>
      <c r="AJ260" s="552">
        <v>1</v>
      </c>
      <c r="AK260" s="552">
        <v>1</v>
      </c>
      <c r="AL260" s="552">
        <v>1</v>
      </c>
      <c r="AM260" s="552">
        <v>0</v>
      </c>
      <c r="AN260" s="552">
        <v>0</v>
      </c>
      <c r="AO260" s="552">
        <v>1</v>
      </c>
      <c r="AP260" s="552">
        <v>1</v>
      </c>
      <c r="AQ260" s="552">
        <v>1</v>
      </c>
      <c r="AR260" s="552">
        <v>1</v>
      </c>
      <c r="AS260" s="552">
        <v>1</v>
      </c>
      <c r="AT260" s="552">
        <v>1</v>
      </c>
      <c r="AU260" s="552">
        <v>1</v>
      </c>
      <c r="AV260" s="553" t="str">
        <f>IF(H260="YES",IF($AV$2="Y","'"&amp;INDEX('Structure Groups'!$C$12:$C$14,MATCH($B$5,'Structure Groups'!$B$12:$B$14,0),1)&amp;"'","'"&amp;INDEX('Structure Groups'!$C$16:$C$18,MATCH($B$5,'Structure Groups'!$B$16:$B$18,0),1)&amp;"'"),IF($AV$2="Y","'All'","'Stop'"))</f>
        <v>'Stop'</v>
      </c>
      <c r="AW260" s="552" t="s">
        <v>562</v>
      </c>
      <c r="AX260" s="552"/>
      <c r="AY260" s="552" t="str">
        <f t="shared" si="401"/>
        <v>Yes</v>
      </c>
      <c r="AZ260" s="554" t="str">
        <f t="shared" si="405"/>
        <v>4:1:Ahead</v>
      </c>
      <c r="BA260" s="554" t="str">
        <f t="shared" si="406"/>
        <v>Broken Wire (# Broken Subconductors)</v>
      </c>
      <c r="BB260" s="552">
        <f t="shared" si="453"/>
        <v>4</v>
      </c>
      <c r="BC260" s="554" t="str">
        <f t="shared" si="408"/>
        <v>14:1:Ahead</v>
      </c>
      <c r="BD260" s="554" t="str">
        <f t="shared" si="409"/>
        <v>Broken Wire (# Broken Subconductors)</v>
      </c>
      <c r="BE260" s="552">
        <f t="shared" si="454"/>
        <v>4</v>
      </c>
      <c r="BF260" s="554" t="str">
        <f t="shared" si="403"/>
        <v>5:1:Ahead</v>
      </c>
      <c r="BG260" s="554" t="str">
        <f t="shared" si="411"/>
        <v>Broken Wire (# Broken Subconductors)</v>
      </c>
      <c r="BH260" s="552">
        <f t="shared" si="455"/>
        <v>4</v>
      </c>
      <c r="BI260" s="554" t="str">
        <f t="shared" si="413"/>
        <v>15:1:Ahead</v>
      </c>
      <c r="BJ260" s="554" t="str">
        <f t="shared" si="414"/>
        <v>Broken Wire (# Broken Subconductors)</v>
      </c>
      <c r="BK260" s="552">
        <f t="shared" si="456"/>
        <v>4</v>
      </c>
      <c r="BL260" s="554" t="str">
        <f t="shared" si="416"/>
        <v/>
      </c>
      <c r="BM260" s="554" t="str">
        <f t="shared" si="417"/>
        <v/>
      </c>
      <c r="BN260" s="552" t="str">
        <f t="shared" si="457"/>
        <v/>
      </c>
      <c r="BO260" s="554" t="str">
        <f t="shared" si="419"/>
        <v/>
      </c>
      <c r="BP260" s="554" t="str">
        <f t="shared" si="420"/>
        <v/>
      </c>
      <c r="BQ260" s="552" t="str">
        <f t="shared" si="458"/>
        <v/>
      </c>
      <c r="BR260" s="554"/>
      <c r="BS260" s="554"/>
      <c r="BT260" s="554"/>
      <c r="BU260" s="554"/>
      <c r="BV260" s="554"/>
      <c r="BW260" s="554"/>
      <c r="BX260" s="554"/>
      <c r="BY260" s="554"/>
      <c r="BZ260" s="554"/>
      <c r="CA260" s="554"/>
      <c r="CB260" s="554"/>
      <c r="CC260" s="554"/>
      <c r="CD260" s="554"/>
      <c r="CE260" s="554"/>
      <c r="CF260" s="554"/>
      <c r="CG260" s="554"/>
      <c r="CH260" s="554"/>
      <c r="CI260" s="554"/>
      <c r="CJ260" s="554"/>
      <c r="CK260" s="554"/>
      <c r="CL260" s="554"/>
      <c r="CM260" s="554"/>
      <c r="CN260" s="554"/>
      <c r="CO260" s="554"/>
      <c r="CP260" s="554"/>
      <c r="CQ260" s="554"/>
      <c r="CR260" s="554"/>
      <c r="CS260" s="554"/>
      <c r="CT260" s="554"/>
      <c r="CU260" s="554"/>
      <c r="CV260" s="554"/>
      <c r="CW260" s="554"/>
      <c r="CX260" s="554"/>
      <c r="CY260" s="554"/>
      <c r="CZ260" s="554"/>
      <c r="DA260" s="554"/>
      <c r="DB260" s="554"/>
      <c r="DC260" s="554"/>
      <c r="DD260" s="554"/>
      <c r="DE260" s="534"/>
      <c r="DF260" s="534"/>
      <c r="DG260" s="534"/>
    </row>
    <row r="261" spans="1:111" ht="15" x14ac:dyDescent="0.25">
      <c r="A261" s="549">
        <f>IFERROR(IF(INDEX('Weather Cases'!$E$10:$E$94,MATCH('Load Criteria'!X261,'Weather Cases'!$H$10:$H$94,0),1)=1,1,"-"),"-")</f>
        <v>1</v>
      </c>
      <c r="B261" s="555" t="s">
        <v>558</v>
      </c>
      <c r="C261" s="555" t="s">
        <v>573</v>
      </c>
      <c r="D261" s="555" t="s">
        <v>579</v>
      </c>
      <c r="E261" s="555">
        <v>2</v>
      </c>
      <c r="F261" s="556" t="s">
        <v>22</v>
      </c>
      <c r="G261" s="556" t="str">
        <f>IFERROR(IF(MID('Load Criteria'!X261,FIND("_",'Load Criteria'!X261,1)+1,1)=LEFT(Control!$D$23,1),"YES","-"),"-")</f>
        <v>-</v>
      </c>
      <c r="H261" s="549" t="s">
        <v>22</v>
      </c>
      <c r="I261" s="557" t="s">
        <v>327</v>
      </c>
      <c r="J261" s="550">
        <f>Control!$D$25</f>
        <v>1</v>
      </c>
      <c r="K261" s="508" t="s">
        <v>571</v>
      </c>
      <c r="L261" s="508" t="s">
        <v>24</v>
      </c>
      <c r="M261" s="550">
        <v>4</v>
      </c>
      <c r="N261" s="550">
        <v>6</v>
      </c>
      <c r="O261" s="550"/>
      <c r="P261" s="392"/>
      <c r="Q261" s="392"/>
      <c r="R261" s="392"/>
      <c r="S261" s="392"/>
      <c r="T261" s="392"/>
      <c r="U261" s="255" t="s">
        <v>568</v>
      </c>
      <c r="V261" s="551"/>
      <c r="W261" s="542" t="str">
        <f t="shared" si="398"/>
        <v>RW0001_8+TA46 NA+</v>
      </c>
      <c r="X261" s="552" t="str">
        <f>I261&amp;TEXT(J261,"0000")&amp;"_"&amp;LEFT(Control!$D$22,LEN(Control!$D$22)-2)</f>
        <v>RW0001_8</v>
      </c>
      <c r="Y261" s="552" t="s">
        <v>433</v>
      </c>
      <c r="Z261" s="552" t="str">
        <f>U261</f>
        <v>NA+</v>
      </c>
      <c r="AA261" s="552"/>
      <c r="AB261" s="552">
        <v>1</v>
      </c>
      <c r="AC261" s="552">
        <v>1</v>
      </c>
      <c r="AD261" s="552">
        <v>1</v>
      </c>
      <c r="AE261" s="552">
        <v>1</v>
      </c>
      <c r="AF261" s="552">
        <v>1</v>
      </c>
      <c r="AG261" s="542" t="s">
        <v>561</v>
      </c>
      <c r="AH261" s="552">
        <v>0</v>
      </c>
      <c r="AI261" s="552">
        <v>0</v>
      </c>
      <c r="AJ261" s="552">
        <v>1</v>
      </c>
      <c r="AK261" s="552">
        <v>1</v>
      </c>
      <c r="AL261" s="552">
        <v>1</v>
      </c>
      <c r="AM261" s="552">
        <v>0</v>
      </c>
      <c r="AN261" s="552">
        <v>0</v>
      </c>
      <c r="AO261" s="552">
        <v>1</v>
      </c>
      <c r="AP261" s="552">
        <v>1</v>
      </c>
      <c r="AQ261" s="552">
        <v>1</v>
      </c>
      <c r="AR261" s="552">
        <v>1</v>
      </c>
      <c r="AS261" s="552">
        <v>1</v>
      </c>
      <c r="AT261" s="552">
        <v>1</v>
      </c>
      <c r="AU261" s="552">
        <v>1</v>
      </c>
      <c r="AV261" s="553" t="str">
        <f>IF(H261="YES",IF($AV$2="Y","'"&amp;INDEX('Structure Groups'!$C$12:$C$14,MATCH($B$5,'Structure Groups'!$B$12:$B$14,0),1)&amp;"'","'"&amp;INDEX('Structure Groups'!$C$16:$C$18,MATCH($B$5,'Structure Groups'!$B$16:$B$18,0),1)&amp;"'"),IF($AV$2="Y","'All'","'Stop'"))</f>
        <v>'Stop'</v>
      </c>
      <c r="AW261" s="552" t="s">
        <v>562</v>
      </c>
      <c r="AX261" s="552"/>
      <c r="AY261" s="552" t="str">
        <f t="shared" si="401"/>
        <v>Yes</v>
      </c>
      <c r="AZ261" s="554" t="str">
        <f t="shared" si="405"/>
        <v>4:1:Ahead</v>
      </c>
      <c r="BA261" s="554" t="str">
        <f t="shared" si="406"/>
        <v>Broken Wire (# Broken Subconductors)</v>
      </c>
      <c r="BB261" s="552">
        <f>IF(AZ261="","",4)</f>
        <v>4</v>
      </c>
      <c r="BC261" s="554" t="str">
        <f t="shared" si="408"/>
        <v>14:1:Ahead</v>
      </c>
      <c r="BD261" s="554" t="str">
        <f t="shared" si="409"/>
        <v>Broken Wire (# Broken Subconductors)</v>
      </c>
      <c r="BE261" s="552">
        <f>IF(BC261="","",4)</f>
        <v>4</v>
      </c>
      <c r="BF261" s="554" t="str">
        <f t="shared" si="403"/>
        <v>6:1:Ahead</v>
      </c>
      <c r="BG261" s="554" t="str">
        <f t="shared" si="411"/>
        <v>Broken Wire (# Broken Subconductors)</v>
      </c>
      <c r="BH261" s="552">
        <f>IF(BF261="","",4)</f>
        <v>4</v>
      </c>
      <c r="BI261" s="554" t="str">
        <f t="shared" si="413"/>
        <v>16:1:Ahead</v>
      </c>
      <c r="BJ261" s="554" t="str">
        <f t="shared" si="414"/>
        <v>Broken Wire (# Broken Subconductors)</v>
      </c>
      <c r="BK261" s="552">
        <f>IF(BI261="","",4)</f>
        <v>4</v>
      </c>
      <c r="BL261" s="554" t="str">
        <f t="shared" si="416"/>
        <v/>
      </c>
      <c r="BM261" s="554" t="str">
        <f t="shared" si="417"/>
        <v/>
      </c>
      <c r="BN261" s="552" t="str">
        <f>IF(BL261="","",4)</f>
        <v/>
      </c>
      <c r="BO261" s="554" t="str">
        <f t="shared" si="419"/>
        <v/>
      </c>
      <c r="BP261" s="554" t="str">
        <f t="shared" si="420"/>
        <v/>
      </c>
      <c r="BQ261" s="552" t="str">
        <f>IF(BO261="","",4)</f>
        <v/>
      </c>
      <c r="BR261" s="554"/>
      <c r="BS261" s="554"/>
      <c r="BT261" s="554"/>
      <c r="BU261" s="554"/>
      <c r="BV261" s="554"/>
      <c r="BW261" s="554"/>
      <c r="BX261" s="554"/>
      <c r="BY261" s="554"/>
      <c r="BZ261" s="554"/>
      <c r="CA261" s="554"/>
      <c r="CB261" s="554"/>
      <c r="CC261" s="554"/>
      <c r="CD261" s="554"/>
      <c r="CE261" s="554"/>
      <c r="CF261" s="554"/>
      <c r="CG261" s="554"/>
      <c r="CH261" s="554"/>
      <c r="CI261" s="554"/>
      <c r="CJ261" s="554"/>
      <c r="CK261" s="554"/>
      <c r="CL261" s="554"/>
      <c r="CM261" s="554"/>
      <c r="CN261" s="554"/>
      <c r="CO261" s="554"/>
      <c r="CP261" s="554"/>
      <c r="CQ261" s="554"/>
      <c r="CR261" s="554"/>
      <c r="CS261" s="554"/>
      <c r="CT261" s="554"/>
      <c r="CU261" s="554"/>
      <c r="CV261" s="554"/>
      <c r="CW261" s="554"/>
      <c r="CX261" s="554"/>
      <c r="CY261" s="554"/>
      <c r="CZ261" s="554"/>
      <c r="DA261" s="554"/>
      <c r="DB261" s="554"/>
      <c r="DC261" s="554"/>
      <c r="DD261" s="554"/>
      <c r="DE261" s="534"/>
      <c r="DF261" s="534"/>
      <c r="DG261" s="534"/>
    </row>
    <row r="262" spans="1:111" ht="15" x14ac:dyDescent="0.25">
      <c r="A262" s="549">
        <f>IFERROR(IF(INDEX('Weather Cases'!$E$10:$E$94,MATCH('Load Criteria'!X262,'Weather Cases'!$H$10:$H$94,0),1)=1,1,"-"),"-")</f>
        <v>1</v>
      </c>
      <c r="B262" s="555" t="s">
        <v>558</v>
      </c>
      <c r="C262" s="555" t="s">
        <v>573</v>
      </c>
      <c r="D262" s="555" t="s">
        <v>579</v>
      </c>
      <c r="E262" s="555">
        <v>2</v>
      </c>
      <c r="F262" s="556" t="s">
        <v>22</v>
      </c>
      <c r="G262" s="556" t="str">
        <f>IFERROR(IF(MID('Load Criteria'!X262,FIND("_",'Load Criteria'!X262,1)+1,1)=LEFT(Control!$D$23,1),"YES","-"),"-")</f>
        <v>-</v>
      </c>
      <c r="H262" s="549" t="s">
        <v>22</v>
      </c>
      <c r="I262" s="557" t="s">
        <v>327</v>
      </c>
      <c r="J262" s="550">
        <f>Control!$D$25</f>
        <v>1</v>
      </c>
      <c r="K262" s="508" t="s">
        <v>571</v>
      </c>
      <c r="L262" s="508" t="s">
        <v>24</v>
      </c>
      <c r="M262" s="550">
        <v>5</v>
      </c>
      <c r="N262" s="550">
        <v>6</v>
      </c>
      <c r="O262" s="550"/>
      <c r="P262" s="392"/>
      <c r="Q262" s="392"/>
      <c r="R262" s="392"/>
      <c r="S262" s="392"/>
      <c r="T262" s="392"/>
      <c r="U262" s="255" t="s">
        <v>568</v>
      </c>
      <c r="V262" s="551"/>
      <c r="W262" s="542" t="str">
        <f t="shared" si="398"/>
        <v>RW0001_8+TA56 NA+</v>
      </c>
      <c r="X262" s="552" t="str">
        <f>I262&amp;TEXT(J262,"0000")&amp;"_"&amp;LEFT(Control!$D$22,LEN(Control!$D$22)-2)</f>
        <v>RW0001_8</v>
      </c>
      <c r="Y262" s="552" t="s">
        <v>433</v>
      </c>
      <c r="Z262" s="552" t="str">
        <f t="shared" si="452"/>
        <v>NA+</v>
      </c>
      <c r="AA262" s="552"/>
      <c r="AB262" s="552">
        <v>1</v>
      </c>
      <c r="AC262" s="552">
        <v>1</v>
      </c>
      <c r="AD262" s="552">
        <v>1</v>
      </c>
      <c r="AE262" s="552">
        <v>1</v>
      </c>
      <c r="AF262" s="552">
        <v>1</v>
      </c>
      <c r="AG262" s="542" t="s">
        <v>561</v>
      </c>
      <c r="AH262" s="552">
        <v>0</v>
      </c>
      <c r="AI262" s="552">
        <v>0</v>
      </c>
      <c r="AJ262" s="552">
        <v>1</v>
      </c>
      <c r="AK262" s="552">
        <v>1</v>
      </c>
      <c r="AL262" s="552">
        <v>1</v>
      </c>
      <c r="AM262" s="552">
        <v>0</v>
      </c>
      <c r="AN262" s="552">
        <v>0</v>
      </c>
      <c r="AO262" s="552">
        <v>1</v>
      </c>
      <c r="AP262" s="552">
        <v>1</v>
      </c>
      <c r="AQ262" s="552">
        <v>1</v>
      </c>
      <c r="AR262" s="552">
        <v>1</v>
      </c>
      <c r="AS262" s="552">
        <v>1</v>
      </c>
      <c r="AT262" s="552">
        <v>1</v>
      </c>
      <c r="AU262" s="552">
        <v>1</v>
      </c>
      <c r="AV262" s="553" t="str">
        <f>IF(H262="YES",IF($AV$2="Y","'"&amp;INDEX('Structure Groups'!$C$12:$C$14,MATCH($B$5,'Structure Groups'!$B$12:$B$14,0),1)&amp;"'","'"&amp;INDEX('Structure Groups'!$C$16:$C$18,MATCH($B$5,'Structure Groups'!$B$16:$B$18,0),1)&amp;"'"),IF($AV$2="Y","'All'","'Stop'"))</f>
        <v>'Stop'</v>
      </c>
      <c r="AW262" s="552" t="s">
        <v>562</v>
      </c>
      <c r="AX262" s="552"/>
      <c r="AY262" s="552" t="str">
        <f t="shared" si="401"/>
        <v>Yes</v>
      </c>
      <c r="AZ262" s="554" t="str">
        <f t="shared" si="405"/>
        <v>5:1:Ahead</v>
      </c>
      <c r="BA262" s="554" t="str">
        <f t="shared" si="406"/>
        <v>Broken Wire (# Broken Subconductors)</v>
      </c>
      <c r="BB262" s="552">
        <f t="shared" si="453"/>
        <v>4</v>
      </c>
      <c r="BC262" s="554" t="str">
        <f t="shared" si="408"/>
        <v>15:1:Ahead</v>
      </c>
      <c r="BD262" s="554" t="str">
        <f t="shared" si="409"/>
        <v>Broken Wire (# Broken Subconductors)</v>
      </c>
      <c r="BE262" s="552">
        <f t="shared" si="454"/>
        <v>4</v>
      </c>
      <c r="BF262" s="554" t="str">
        <f t="shared" si="403"/>
        <v>6:1:Ahead</v>
      </c>
      <c r="BG262" s="554" t="str">
        <f t="shared" si="411"/>
        <v>Broken Wire (# Broken Subconductors)</v>
      </c>
      <c r="BH262" s="552">
        <f t="shared" si="455"/>
        <v>4</v>
      </c>
      <c r="BI262" s="554" t="str">
        <f t="shared" si="413"/>
        <v>16:1:Ahead</v>
      </c>
      <c r="BJ262" s="554" t="str">
        <f t="shared" si="414"/>
        <v>Broken Wire (# Broken Subconductors)</v>
      </c>
      <c r="BK262" s="552">
        <f t="shared" si="456"/>
        <v>4</v>
      </c>
      <c r="BL262" s="554" t="str">
        <f t="shared" si="416"/>
        <v/>
      </c>
      <c r="BM262" s="554" t="str">
        <f t="shared" si="417"/>
        <v/>
      </c>
      <c r="BN262" s="552" t="str">
        <f t="shared" si="457"/>
        <v/>
      </c>
      <c r="BO262" s="554" t="str">
        <f t="shared" si="419"/>
        <v/>
      </c>
      <c r="BP262" s="554" t="str">
        <f t="shared" si="420"/>
        <v/>
      </c>
      <c r="BQ262" s="552" t="str">
        <f t="shared" si="458"/>
        <v/>
      </c>
      <c r="BR262" s="554"/>
      <c r="BS262" s="554"/>
      <c r="BT262" s="554"/>
      <c r="BU262" s="554"/>
      <c r="BV262" s="554"/>
      <c r="BW262" s="554"/>
      <c r="BX262" s="554"/>
      <c r="BY262" s="554"/>
      <c r="BZ262" s="554"/>
      <c r="CA262" s="554"/>
      <c r="CB262" s="554"/>
      <c r="CC262" s="554"/>
      <c r="CD262" s="554"/>
      <c r="CE262" s="554"/>
      <c r="CF262" s="554"/>
      <c r="CG262" s="554"/>
      <c r="CH262" s="554"/>
      <c r="CI262" s="554"/>
      <c r="CJ262" s="554"/>
      <c r="CK262" s="554"/>
      <c r="CL262" s="554"/>
      <c r="CM262" s="554"/>
      <c r="CN262" s="554"/>
      <c r="CO262" s="554"/>
      <c r="CP262" s="554"/>
      <c r="CQ262" s="554"/>
      <c r="CR262" s="554"/>
      <c r="CS262" s="554"/>
      <c r="CT262" s="554"/>
      <c r="CU262" s="554"/>
      <c r="CV262" s="554"/>
      <c r="CW262" s="554"/>
      <c r="CX262" s="554"/>
      <c r="CY262" s="554"/>
      <c r="CZ262" s="554"/>
      <c r="DA262" s="554"/>
      <c r="DB262" s="554"/>
      <c r="DC262" s="554"/>
      <c r="DD262" s="554"/>
      <c r="DE262" s="534"/>
      <c r="DF262" s="534"/>
      <c r="DG262" s="534"/>
    </row>
    <row r="263" spans="1:111" ht="15" x14ac:dyDescent="0.25">
      <c r="A263" s="549">
        <f>IFERROR(IF(INDEX('Weather Cases'!$E$10:$E$94,MATCH('Load Criteria'!X263,'Weather Cases'!$H$10:$H$94,0),1)=1,1,"-"),"-")</f>
        <v>1</v>
      </c>
      <c r="B263" s="555" t="s">
        <v>558</v>
      </c>
      <c r="C263" s="555" t="s">
        <v>573</v>
      </c>
      <c r="D263" s="555" t="s">
        <v>579</v>
      </c>
      <c r="E263" s="555">
        <v>2</v>
      </c>
      <c r="F263" s="555" t="s">
        <v>581</v>
      </c>
      <c r="G263" s="556" t="str">
        <f>IFERROR(IF(MID('Load Criteria'!X263,FIND("_",'Load Criteria'!X263,1)+1,1)=LEFT(Control!$D$23,1),"YES","-"),"-")</f>
        <v>-</v>
      </c>
      <c r="H263" s="549" t="s">
        <v>22</v>
      </c>
      <c r="I263" s="557" t="s">
        <v>327</v>
      </c>
      <c r="J263" s="550">
        <f>Control!$D$25</f>
        <v>1</v>
      </c>
      <c r="K263" s="508" t="s">
        <v>571</v>
      </c>
      <c r="L263" s="508" t="s">
        <v>24</v>
      </c>
      <c r="M263" s="550">
        <v>6</v>
      </c>
      <c r="N263" s="550">
        <v>8</v>
      </c>
      <c r="O263" s="550"/>
      <c r="P263" s="392"/>
      <c r="Q263" s="392"/>
      <c r="R263" s="392"/>
      <c r="S263" s="392"/>
      <c r="T263" s="392"/>
      <c r="U263" s="255" t="s">
        <v>568</v>
      </c>
      <c r="V263" s="551"/>
      <c r="W263" s="542" t="str">
        <f t="shared" si="398"/>
        <v>RW0001_8+TA68 NA+</v>
      </c>
      <c r="X263" s="552" t="str">
        <f>I263&amp;TEXT(J263,"0000")&amp;"_"&amp;LEFT(Control!$D$22,LEN(Control!$D$22)-2)</f>
        <v>RW0001_8</v>
      </c>
      <c r="Y263" s="552" t="s">
        <v>433</v>
      </c>
      <c r="Z263" s="552" t="str">
        <f t="shared" si="452"/>
        <v>NA+</v>
      </c>
      <c r="AA263" s="552"/>
      <c r="AB263" s="552">
        <v>1</v>
      </c>
      <c r="AC263" s="552">
        <v>1</v>
      </c>
      <c r="AD263" s="552">
        <v>1</v>
      </c>
      <c r="AE263" s="552">
        <v>1</v>
      </c>
      <c r="AF263" s="552">
        <v>1</v>
      </c>
      <c r="AG263" s="542" t="s">
        <v>561</v>
      </c>
      <c r="AH263" s="552">
        <v>0</v>
      </c>
      <c r="AI263" s="552">
        <v>0</v>
      </c>
      <c r="AJ263" s="552">
        <v>1</v>
      </c>
      <c r="AK263" s="552">
        <v>1</v>
      </c>
      <c r="AL263" s="552">
        <v>1</v>
      </c>
      <c r="AM263" s="552">
        <v>0</v>
      </c>
      <c r="AN263" s="552">
        <v>0</v>
      </c>
      <c r="AO263" s="552">
        <v>1</v>
      </c>
      <c r="AP263" s="552">
        <v>1</v>
      </c>
      <c r="AQ263" s="552">
        <v>1</v>
      </c>
      <c r="AR263" s="552">
        <v>1</v>
      </c>
      <c r="AS263" s="552">
        <v>1</v>
      </c>
      <c r="AT263" s="552">
        <v>1</v>
      </c>
      <c r="AU263" s="552">
        <v>1</v>
      </c>
      <c r="AV263" s="553" t="str">
        <f>IF(H263="YES",IF($AV$2="Y","'"&amp;INDEX('Structure Groups'!$C$12:$C$14,MATCH($B$5,'Structure Groups'!$B$12:$B$14,0),1)&amp;"'","'"&amp;INDEX('Structure Groups'!$C$16:$C$18,MATCH($B$5,'Structure Groups'!$B$16:$B$18,0),1)&amp;"'"),IF($AV$2="Y","'All'","'Stop'"))</f>
        <v>'Stop'</v>
      </c>
      <c r="AW263" s="552" t="s">
        <v>562</v>
      </c>
      <c r="AX263" s="552"/>
      <c r="AY263" s="552" t="str">
        <f t="shared" si="401"/>
        <v>Yes</v>
      </c>
      <c r="AZ263" s="554" t="str">
        <f t="shared" si="405"/>
        <v>6:1:Ahead</v>
      </c>
      <c r="BA263" s="554" t="str">
        <f t="shared" si="406"/>
        <v>Broken Wire (# Broken Subconductors)</v>
      </c>
      <c r="BB263" s="552">
        <f t="shared" si="453"/>
        <v>4</v>
      </c>
      <c r="BC263" s="554" t="str">
        <f t="shared" si="408"/>
        <v>16:1:Ahead</v>
      </c>
      <c r="BD263" s="554" t="str">
        <f t="shared" si="409"/>
        <v>Broken Wire (# Broken Subconductors)</v>
      </c>
      <c r="BE263" s="552">
        <f t="shared" si="454"/>
        <v>4</v>
      </c>
      <c r="BF263" s="554" t="str">
        <f t="shared" si="403"/>
        <v>8:1:Ahead</v>
      </c>
      <c r="BG263" s="554" t="str">
        <f t="shared" si="411"/>
        <v>Broken Wire (# Broken Subconductors)</v>
      </c>
      <c r="BH263" s="552">
        <f t="shared" si="455"/>
        <v>4</v>
      </c>
      <c r="BI263" s="554" t="str">
        <f t="shared" si="413"/>
        <v>18:1:Ahead</v>
      </c>
      <c r="BJ263" s="554" t="str">
        <f t="shared" si="414"/>
        <v>Broken Wire (# Broken Subconductors)</v>
      </c>
      <c r="BK263" s="552">
        <f t="shared" si="456"/>
        <v>4</v>
      </c>
      <c r="BL263" s="554" t="str">
        <f t="shared" si="416"/>
        <v/>
      </c>
      <c r="BM263" s="554" t="str">
        <f t="shared" si="417"/>
        <v/>
      </c>
      <c r="BN263" s="552" t="str">
        <f t="shared" si="457"/>
        <v/>
      </c>
      <c r="BO263" s="554" t="str">
        <f t="shared" si="419"/>
        <v/>
      </c>
      <c r="BP263" s="554" t="str">
        <f t="shared" si="420"/>
        <v/>
      </c>
      <c r="BQ263" s="552" t="str">
        <f t="shared" si="458"/>
        <v/>
      </c>
      <c r="BR263" s="554"/>
      <c r="BS263" s="554"/>
      <c r="BT263" s="554"/>
      <c r="BU263" s="554"/>
      <c r="BV263" s="554"/>
      <c r="BW263" s="554"/>
      <c r="BX263" s="554"/>
      <c r="BY263" s="554"/>
      <c r="BZ263" s="554"/>
      <c r="CA263" s="554"/>
      <c r="CB263" s="554"/>
      <c r="CC263" s="554"/>
      <c r="CD263" s="554"/>
      <c r="CE263" s="554"/>
      <c r="CF263" s="554"/>
      <c r="CG263" s="554"/>
      <c r="CH263" s="554"/>
      <c r="CI263" s="554"/>
      <c r="CJ263" s="554"/>
      <c r="CK263" s="554"/>
      <c r="CL263" s="554"/>
      <c r="CM263" s="554"/>
      <c r="CN263" s="554"/>
      <c r="CO263" s="554"/>
      <c r="CP263" s="554"/>
      <c r="CQ263" s="554"/>
      <c r="CR263" s="554"/>
      <c r="CS263" s="554"/>
      <c r="CT263" s="554"/>
      <c r="CU263" s="554"/>
      <c r="CV263" s="554"/>
      <c r="CW263" s="554"/>
      <c r="CX263" s="554"/>
      <c r="CY263" s="554"/>
      <c r="CZ263" s="554"/>
      <c r="DA263" s="554"/>
      <c r="DB263" s="554"/>
      <c r="DC263" s="554"/>
      <c r="DD263" s="554"/>
      <c r="DE263" s="534"/>
      <c r="DF263" s="534"/>
      <c r="DG263" s="534"/>
    </row>
    <row r="264" spans="1:111" ht="15" x14ac:dyDescent="0.25">
      <c r="A264" s="549">
        <f>IFERROR(IF(INDEX('Weather Cases'!$E$10:$E$94,MATCH('Load Criteria'!X264,'Weather Cases'!$H$10:$H$94,0),1)=1,1,"-"),"-")</f>
        <v>1</v>
      </c>
      <c r="B264" s="555" t="s">
        <v>558</v>
      </c>
      <c r="C264" s="555" t="s">
        <v>573</v>
      </c>
      <c r="D264" s="555" t="s">
        <v>579</v>
      </c>
      <c r="E264" s="555">
        <v>2</v>
      </c>
      <c r="F264" s="556" t="s">
        <v>22</v>
      </c>
      <c r="G264" s="556" t="str">
        <f>IFERROR(IF(MID('Load Criteria'!X264,FIND("_",'Load Criteria'!X264,1)+1,1)=LEFT(Control!$D$23,1),"YES","-"),"-")</f>
        <v>-</v>
      </c>
      <c r="H264" s="549" t="s">
        <v>22</v>
      </c>
      <c r="I264" s="557" t="s">
        <v>327</v>
      </c>
      <c r="J264" s="550">
        <f>Control!$D$25</f>
        <v>1</v>
      </c>
      <c r="K264" s="508" t="s">
        <v>571</v>
      </c>
      <c r="L264" s="508" t="s">
        <v>40</v>
      </c>
      <c r="M264" s="550">
        <v>1</v>
      </c>
      <c r="N264" s="550">
        <v>2</v>
      </c>
      <c r="O264" s="550"/>
      <c r="P264" s="392"/>
      <c r="Q264" s="392"/>
      <c r="R264" s="392"/>
      <c r="S264" s="392"/>
      <c r="T264" s="392"/>
      <c r="U264" s="255" t="s">
        <v>568</v>
      </c>
      <c r="V264" s="551"/>
      <c r="W264" s="542" t="str">
        <f t="shared" si="398"/>
        <v>RW0001_8+TB12 NA+</v>
      </c>
      <c r="X264" s="552" t="str">
        <f>I264&amp;TEXT(J264,"0000")&amp;"_"&amp;LEFT(Control!$D$22,LEN(Control!$D$22)-2)</f>
        <v>RW0001_8</v>
      </c>
      <c r="Y264" s="552" t="s">
        <v>433</v>
      </c>
      <c r="Z264" s="552" t="str">
        <f t="shared" ref="Z264:Z279" si="459">U264</f>
        <v>NA+</v>
      </c>
      <c r="AA264" s="552"/>
      <c r="AB264" s="552">
        <v>1</v>
      </c>
      <c r="AC264" s="552">
        <v>1</v>
      </c>
      <c r="AD264" s="552">
        <v>1</v>
      </c>
      <c r="AE264" s="552">
        <v>1</v>
      </c>
      <c r="AF264" s="552">
        <v>1</v>
      </c>
      <c r="AG264" s="542" t="s">
        <v>561</v>
      </c>
      <c r="AH264" s="552">
        <v>0</v>
      </c>
      <c r="AI264" s="552">
        <v>0</v>
      </c>
      <c r="AJ264" s="552">
        <v>1</v>
      </c>
      <c r="AK264" s="552">
        <v>1</v>
      </c>
      <c r="AL264" s="552">
        <v>1</v>
      </c>
      <c r="AM264" s="552">
        <v>0</v>
      </c>
      <c r="AN264" s="552">
        <v>0</v>
      </c>
      <c r="AO264" s="552">
        <v>1</v>
      </c>
      <c r="AP264" s="552">
        <v>1</v>
      </c>
      <c r="AQ264" s="552">
        <v>1</v>
      </c>
      <c r="AR264" s="552">
        <v>1</v>
      </c>
      <c r="AS264" s="552">
        <v>1</v>
      </c>
      <c r="AT264" s="552">
        <v>1</v>
      </c>
      <c r="AU264" s="552">
        <v>1</v>
      </c>
      <c r="AV264" s="553" t="str">
        <f>IF(H264="YES",IF($AV$2="Y","'"&amp;INDEX('Structure Groups'!$C$12:$C$14,MATCH($B$5,'Structure Groups'!$B$12:$B$14,0),1)&amp;"'","'"&amp;INDEX('Structure Groups'!$C$16:$C$18,MATCH($B$5,'Structure Groups'!$B$16:$B$18,0),1)&amp;"'"),IF($AV$2="Y","'All'","'Stop'"))</f>
        <v>'Stop'</v>
      </c>
      <c r="AW264" s="552" t="s">
        <v>562</v>
      </c>
      <c r="AX264" s="552"/>
      <c r="AY264" s="552" t="str">
        <f t="shared" ref="AY264:AY287" si="460">IF(L264="","No","Yes")</f>
        <v>Yes</v>
      </c>
      <c r="AZ264" s="554" t="str">
        <f t="shared" si="405"/>
        <v>1:1:Back</v>
      </c>
      <c r="BA264" s="554" t="str">
        <f t="shared" si="406"/>
        <v>Broken Wire (# Broken Subconductors)</v>
      </c>
      <c r="BB264" s="552">
        <f t="shared" ref="BB264:BB279" si="461">IF(AZ264="","",4)</f>
        <v>4</v>
      </c>
      <c r="BC264" s="554" t="str">
        <f t="shared" si="408"/>
        <v>11:1:Back</v>
      </c>
      <c r="BD264" s="554" t="str">
        <f t="shared" si="409"/>
        <v>Broken Wire (# Broken Subconductors)</v>
      </c>
      <c r="BE264" s="552">
        <f t="shared" ref="BE264:BE279" si="462">IF(BC264="","",4)</f>
        <v>4</v>
      </c>
      <c r="BF264" s="554" t="str">
        <f t="shared" si="403"/>
        <v>2:1:Back</v>
      </c>
      <c r="BG264" s="554" t="str">
        <f t="shared" si="411"/>
        <v>Broken Wire (# Broken Subconductors)</v>
      </c>
      <c r="BH264" s="552">
        <f t="shared" ref="BH264:BH279" si="463">IF(BF264="","",4)</f>
        <v>4</v>
      </c>
      <c r="BI264" s="554" t="str">
        <f t="shared" si="413"/>
        <v>12:1:Back</v>
      </c>
      <c r="BJ264" s="554" t="str">
        <f t="shared" si="414"/>
        <v>Broken Wire (# Broken Subconductors)</v>
      </c>
      <c r="BK264" s="552">
        <f t="shared" ref="BK264:BK279" si="464">IF(BI264="","",4)</f>
        <v>4</v>
      </c>
      <c r="BL264" s="554" t="str">
        <f t="shared" si="416"/>
        <v/>
      </c>
      <c r="BM264" s="554" t="str">
        <f t="shared" si="417"/>
        <v/>
      </c>
      <c r="BN264" s="552" t="str">
        <f t="shared" ref="BN264:BN279" si="465">IF(BL264="","",4)</f>
        <v/>
      </c>
      <c r="BO264" s="554" t="str">
        <f t="shared" si="419"/>
        <v/>
      </c>
      <c r="BP264" s="554" t="str">
        <f t="shared" si="420"/>
        <v/>
      </c>
      <c r="BQ264" s="552" t="str">
        <f t="shared" ref="BQ264:BQ279" si="466">IF(BO264="","",4)</f>
        <v/>
      </c>
      <c r="BR264" s="554"/>
      <c r="BS264" s="554"/>
      <c r="BT264" s="554"/>
      <c r="BU264" s="554"/>
      <c r="BV264" s="554"/>
      <c r="BW264" s="554"/>
      <c r="BX264" s="554"/>
      <c r="BY264" s="554"/>
      <c r="BZ264" s="554"/>
      <c r="CA264" s="554"/>
      <c r="CB264" s="554"/>
      <c r="CC264" s="554"/>
      <c r="CD264" s="554"/>
      <c r="CE264" s="554"/>
      <c r="CF264" s="554"/>
      <c r="CG264" s="554"/>
      <c r="CH264" s="554"/>
      <c r="CI264" s="554"/>
      <c r="CJ264" s="554"/>
      <c r="CK264" s="554"/>
      <c r="CL264" s="554"/>
      <c r="CM264" s="554"/>
      <c r="CN264" s="554"/>
      <c r="CO264" s="554"/>
      <c r="CP264" s="554"/>
      <c r="CQ264" s="554"/>
      <c r="CR264" s="554"/>
      <c r="CS264" s="554"/>
      <c r="CT264" s="554"/>
      <c r="CU264" s="554"/>
      <c r="CV264" s="554"/>
      <c r="CW264" s="554"/>
      <c r="CX264" s="554"/>
      <c r="CY264" s="554"/>
      <c r="CZ264" s="554"/>
      <c r="DA264" s="554"/>
      <c r="DB264" s="554"/>
      <c r="DC264" s="554"/>
      <c r="DD264" s="554"/>
      <c r="DE264" s="534"/>
      <c r="DF264" s="534"/>
      <c r="DG264" s="534"/>
    </row>
    <row r="265" spans="1:111" ht="15" x14ac:dyDescent="0.25">
      <c r="A265" s="549">
        <f>IFERROR(IF(INDEX('Weather Cases'!$E$10:$E$94,MATCH('Load Criteria'!X265,'Weather Cases'!$H$10:$H$94,0),1)=1,1,"-"),"-")</f>
        <v>1</v>
      </c>
      <c r="B265" s="555" t="s">
        <v>558</v>
      </c>
      <c r="C265" s="555" t="s">
        <v>573</v>
      </c>
      <c r="D265" s="555" t="s">
        <v>579</v>
      </c>
      <c r="E265" s="555">
        <v>2</v>
      </c>
      <c r="F265" s="556" t="s">
        <v>22</v>
      </c>
      <c r="G265" s="556" t="str">
        <f>IFERROR(IF(MID('Load Criteria'!X265,FIND("_",'Load Criteria'!X265,1)+1,1)=LEFT(Control!$D$23,1),"YES","-"),"-")</f>
        <v>-</v>
      </c>
      <c r="H265" s="549" t="s">
        <v>22</v>
      </c>
      <c r="I265" s="557" t="s">
        <v>327</v>
      </c>
      <c r="J265" s="550">
        <f>Control!$D$25</f>
        <v>1</v>
      </c>
      <c r="K265" s="508" t="s">
        <v>571</v>
      </c>
      <c r="L265" s="508" t="s">
        <v>40</v>
      </c>
      <c r="M265" s="550">
        <v>2</v>
      </c>
      <c r="N265" s="550">
        <v>3</v>
      </c>
      <c r="O265" s="550"/>
      <c r="P265" s="392"/>
      <c r="Q265" s="392"/>
      <c r="R265" s="392"/>
      <c r="S265" s="392"/>
      <c r="T265" s="392"/>
      <c r="U265" s="255" t="s">
        <v>568</v>
      </c>
      <c r="V265" s="551"/>
      <c r="W265" s="542" t="str">
        <f t="shared" si="398"/>
        <v>RW0001_8+TB23 NA+</v>
      </c>
      <c r="X265" s="552" t="str">
        <f>I265&amp;TEXT(J265,"0000")&amp;"_"&amp;LEFT(Control!$D$22,LEN(Control!$D$22)-2)</f>
        <v>RW0001_8</v>
      </c>
      <c r="Y265" s="552" t="s">
        <v>433</v>
      </c>
      <c r="Z265" s="552" t="str">
        <f t="shared" si="459"/>
        <v>NA+</v>
      </c>
      <c r="AA265" s="552"/>
      <c r="AB265" s="552">
        <v>1</v>
      </c>
      <c r="AC265" s="552">
        <v>1</v>
      </c>
      <c r="AD265" s="552">
        <v>1</v>
      </c>
      <c r="AE265" s="552">
        <v>1</v>
      </c>
      <c r="AF265" s="552">
        <v>1</v>
      </c>
      <c r="AG265" s="542" t="s">
        <v>561</v>
      </c>
      <c r="AH265" s="552">
        <v>0</v>
      </c>
      <c r="AI265" s="552">
        <v>0</v>
      </c>
      <c r="AJ265" s="552">
        <v>1</v>
      </c>
      <c r="AK265" s="552">
        <v>1</v>
      </c>
      <c r="AL265" s="552">
        <v>1</v>
      </c>
      <c r="AM265" s="552">
        <v>0</v>
      </c>
      <c r="AN265" s="552">
        <v>0</v>
      </c>
      <c r="AO265" s="552">
        <v>1</v>
      </c>
      <c r="AP265" s="552">
        <v>1</v>
      </c>
      <c r="AQ265" s="552">
        <v>1</v>
      </c>
      <c r="AR265" s="552">
        <v>1</v>
      </c>
      <c r="AS265" s="552">
        <v>1</v>
      </c>
      <c r="AT265" s="552">
        <v>1</v>
      </c>
      <c r="AU265" s="552">
        <v>1</v>
      </c>
      <c r="AV265" s="553" t="str">
        <f>IF(H265="YES",IF($AV$2="Y","'"&amp;INDEX('Structure Groups'!$C$12:$C$14,MATCH($B$5,'Structure Groups'!$B$12:$B$14,0),1)&amp;"'","'"&amp;INDEX('Structure Groups'!$C$16:$C$18,MATCH($B$5,'Structure Groups'!$B$16:$B$18,0),1)&amp;"'"),IF($AV$2="Y","'All'","'Stop'"))</f>
        <v>'Stop'</v>
      </c>
      <c r="AW265" s="552" t="s">
        <v>562</v>
      </c>
      <c r="AX265" s="552"/>
      <c r="AY265" s="552" t="str">
        <f t="shared" si="460"/>
        <v>Yes</v>
      </c>
      <c r="AZ265" s="554" t="str">
        <f t="shared" si="405"/>
        <v>2:1:Back</v>
      </c>
      <c r="BA265" s="554" t="str">
        <f t="shared" si="406"/>
        <v>Broken Wire (# Broken Subconductors)</v>
      </c>
      <c r="BB265" s="552">
        <f t="shared" si="461"/>
        <v>4</v>
      </c>
      <c r="BC265" s="554" t="str">
        <f t="shared" si="408"/>
        <v>12:1:Back</v>
      </c>
      <c r="BD265" s="554" t="str">
        <f t="shared" si="409"/>
        <v>Broken Wire (# Broken Subconductors)</v>
      </c>
      <c r="BE265" s="552">
        <f t="shared" si="462"/>
        <v>4</v>
      </c>
      <c r="BF265" s="554" t="str">
        <f t="shared" si="403"/>
        <v>3:1:Back</v>
      </c>
      <c r="BG265" s="554" t="str">
        <f t="shared" si="411"/>
        <v>Broken Wire (# Broken Subconductors)</v>
      </c>
      <c r="BH265" s="552">
        <f t="shared" si="463"/>
        <v>4</v>
      </c>
      <c r="BI265" s="554" t="str">
        <f t="shared" si="413"/>
        <v>13:1:Back</v>
      </c>
      <c r="BJ265" s="554" t="str">
        <f t="shared" si="414"/>
        <v>Broken Wire (# Broken Subconductors)</v>
      </c>
      <c r="BK265" s="552">
        <f t="shared" si="464"/>
        <v>4</v>
      </c>
      <c r="BL265" s="554" t="str">
        <f t="shared" si="416"/>
        <v/>
      </c>
      <c r="BM265" s="554" t="str">
        <f t="shared" si="417"/>
        <v/>
      </c>
      <c r="BN265" s="552" t="str">
        <f t="shared" si="465"/>
        <v/>
      </c>
      <c r="BO265" s="554" t="str">
        <f t="shared" si="419"/>
        <v/>
      </c>
      <c r="BP265" s="554" t="str">
        <f t="shared" si="420"/>
        <v/>
      </c>
      <c r="BQ265" s="552" t="str">
        <f t="shared" si="466"/>
        <v/>
      </c>
      <c r="BR265" s="554"/>
      <c r="BS265" s="554"/>
      <c r="BT265" s="554"/>
      <c r="BU265" s="554"/>
      <c r="BV265" s="554"/>
      <c r="BW265" s="554"/>
      <c r="BX265" s="554"/>
      <c r="BY265" s="554"/>
      <c r="BZ265" s="554"/>
      <c r="CA265" s="554"/>
      <c r="CB265" s="554"/>
      <c r="CC265" s="554"/>
      <c r="CD265" s="554"/>
      <c r="CE265" s="554"/>
      <c r="CF265" s="554"/>
      <c r="CG265" s="554"/>
      <c r="CH265" s="554"/>
      <c r="CI265" s="554"/>
      <c r="CJ265" s="554"/>
      <c r="CK265" s="554"/>
      <c r="CL265" s="554"/>
      <c r="CM265" s="554"/>
      <c r="CN265" s="554"/>
      <c r="CO265" s="554"/>
      <c r="CP265" s="554"/>
      <c r="CQ265" s="554"/>
      <c r="CR265" s="554"/>
      <c r="CS265" s="554"/>
      <c r="CT265" s="554"/>
      <c r="CU265" s="554"/>
      <c r="CV265" s="554"/>
      <c r="CW265" s="554"/>
      <c r="CX265" s="554"/>
      <c r="CY265" s="554"/>
      <c r="CZ265" s="554"/>
      <c r="DA265" s="554"/>
      <c r="DB265" s="554"/>
      <c r="DC265" s="554"/>
      <c r="DD265" s="554"/>
      <c r="DE265" s="534"/>
      <c r="DF265" s="534"/>
      <c r="DG265" s="534"/>
    </row>
    <row r="266" spans="1:111" ht="15" x14ac:dyDescent="0.25">
      <c r="A266" s="549">
        <f>IFERROR(IF(INDEX('Weather Cases'!$E$10:$E$94,MATCH('Load Criteria'!X266,'Weather Cases'!$H$10:$H$94,0),1)=1,1,"-"),"-")</f>
        <v>1</v>
      </c>
      <c r="B266" s="555" t="s">
        <v>558</v>
      </c>
      <c r="C266" s="555" t="s">
        <v>573</v>
      </c>
      <c r="D266" s="555" t="s">
        <v>579</v>
      </c>
      <c r="E266" s="555">
        <v>2</v>
      </c>
      <c r="F266" s="556" t="s">
        <v>22</v>
      </c>
      <c r="G266" s="556" t="str">
        <f>IFERROR(IF(MID('Load Criteria'!X266,FIND("_",'Load Criteria'!X266,1)+1,1)=LEFT(Control!$D$23,1),"YES","-"),"-")</f>
        <v>-</v>
      </c>
      <c r="H266" s="549" t="s">
        <v>22</v>
      </c>
      <c r="I266" s="557" t="s">
        <v>327</v>
      </c>
      <c r="J266" s="550">
        <f>Control!$D$25</f>
        <v>1</v>
      </c>
      <c r="K266" s="508" t="s">
        <v>571</v>
      </c>
      <c r="L266" s="508" t="s">
        <v>40</v>
      </c>
      <c r="M266" s="550">
        <v>1</v>
      </c>
      <c r="N266" s="550">
        <v>3</v>
      </c>
      <c r="O266" s="550"/>
      <c r="P266" s="392"/>
      <c r="Q266" s="392"/>
      <c r="R266" s="392"/>
      <c r="S266" s="392"/>
      <c r="T266" s="392"/>
      <c r="U266" s="255" t="s">
        <v>568</v>
      </c>
      <c r="V266" s="551"/>
      <c r="W266" s="542" t="str">
        <f t="shared" si="398"/>
        <v>RW0001_8+TB13 NA+</v>
      </c>
      <c r="X266" s="552" t="str">
        <f>I266&amp;TEXT(J266,"0000")&amp;"_"&amp;LEFT(Control!$D$22,LEN(Control!$D$22)-2)</f>
        <v>RW0001_8</v>
      </c>
      <c r="Y266" s="552" t="s">
        <v>433</v>
      </c>
      <c r="Z266" s="552" t="str">
        <f t="shared" si="459"/>
        <v>NA+</v>
      </c>
      <c r="AA266" s="552"/>
      <c r="AB266" s="552">
        <v>1</v>
      </c>
      <c r="AC266" s="552">
        <v>1</v>
      </c>
      <c r="AD266" s="552">
        <v>1</v>
      </c>
      <c r="AE266" s="552">
        <v>1</v>
      </c>
      <c r="AF266" s="552">
        <v>1</v>
      </c>
      <c r="AG266" s="542" t="s">
        <v>561</v>
      </c>
      <c r="AH266" s="552">
        <v>0</v>
      </c>
      <c r="AI266" s="552">
        <v>0</v>
      </c>
      <c r="AJ266" s="552">
        <v>1</v>
      </c>
      <c r="AK266" s="552">
        <v>1</v>
      </c>
      <c r="AL266" s="552">
        <v>1</v>
      </c>
      <c r="AM266" s="552">
        <v>0</v>
      </c>
      <c r="AN266" s="552">
        <v>0</v>
      </c>
      <c r="AO266" s="552">
        <v>1</v>
      </c>
      <c r="AP266" s="552">
        <v>1</v>
      </c>
      <c r="AQ266" s="552">
        <v>1</v>
      </c>
      <c r="AR266" s="552">
        <v>1</v>
      </c>
      <c r="AS266" s="552">
        <v>1</v>
      </c>
      <c r="AT266" s="552">
        <v>1</v>
      </c>
      <c r="AU266" s="552">
        <v>1</v>
      </c>
      <c r="AV266" s="553" t="str">
        <f>IF(H266="YES",IF($AV$2="Y","'"&amp;INDEX('Structure Groups'!$C$12:$C$14,MATCH($B$5,'Structure Groups'!$B$12:$B$14,0),1)&amp;"'","'"&amp;INDEX('Structure Groups'!$C$16:$C$18,MATCH($B$5,'Structure Groups'!$B$16:$B$18,0),1)&amp;"'"),IF($AV$2="Y","'All'","'Stop'"))</f>
        <v>'Stop'</v>
      </c>
      <c r="AW266" s="552" t="s">
        <v>562</v>
      </c>
      <c r="AX266" s="552"/>
      <c r="AY266" s="552" t="str">
        <f t="shared" si="460"/>
        <v>Yes</v>
      </c>
      <c r="AZ266" s="554" t="str">
        <f t="shared" si="405"/>
        <v>1:1:Back</v>
      </c>
      <c r="BA266" s="554" t="str">
        <f t="shared" si="406"/>
        <v>Broken Wire (# Broken Subconductors)</v>
      </c>
      <c r="BB266" s="552">
        <f t="shared" si="461"/>
        <v>4</v>
      </c>
      <c r="BC266" s="554" t="str">
        <f t="shared" si="408"/>
        <v>11:1:Back</v>
      </c>
      <c r="BD266" s="554" t="str">
        <f t="shared" si="409"/>
        <v>Broken Wire (# Broken Subconductors)</v>
      </c>
      <c r="BE266" s="552">
        <f t="shared" si="462"/>
        <v>4</v>
      </c>
      <c r="BF266" s="554" t="str">
        <f t="shared" si="403"/>
        <v>3:1:Back</v>
      </c>
      <c r="BG266" s="554" t="str">
        <f t="shared" si="411"/>
        <v>Broken Wire (# Broken Subconductors)</v>
      </c>
      <c r="BH266" s="552">
        <f t="shared" si="463"/>
        <v>4</v>
      </c>
      <c r="BI266" s="554" t="str">
        <f t="shared" si="413"/>
        <v>13:1:Back</v>
      </c>
      <c r="BJ266" s="554" t="str">
        <f t="shared" si="414"/>
        <v>Broken Wire (# Broken Subconductors)</v>
      </c>
      <c r="BK266" s="552">
        <f t="shared" si="464"/>
        <v>4</v>
      </c>
      <c r="BL266" s="554" t="str">
        <f t="shared" si="416"/>
        <v/>
      </c>
      <c r="BM266" s="554" t="str">
        <f t="shared" si="417"/>
        <v/>
      </c>
      <c r="BN266" s="552" t="str">
        <f t="shared" si="465"/>
        <v/>
      </c>
      <c r="BO266" s="554" t="str">
        <f t="shared" si="419"/>
        <v/>
      </c>
      <c r="BP266" s="554" t="str">
        <f t="shared" si="420"/>
        <v/>
      </c>
      <c r="BQ266" s="552" t="str">
        <f t="shared" si="466"/>
        <v/>
      </c>
      <c r="BR266" s="554"/>
      <c r="BS266" s="554"/>
      <c r="BT266" s="554"/>
      <c r="BU266" s="554"/>
      <c r="BV266" s="554"/>
      <c r="BW266" s="554"/>
      <c r="BX266" s="554"/>
      <c r="BY266" s="554"/>
      <c r="BZ266" s="554"/>
      <c r="CA266" s="554"/>
      <c r="CB266" s="554"/>
      <c r="CC266" s="554"/>
      <c r="CD266" s="554"/>
      <c r="CE266" s="554"/>
      <c r="CF266" s="554"/>
      <c r="CG266" s="554"/>
      <c r="CH266" s="554"/>
      <c r="CI266" s="554"/>
      <c r="CJ266" s="554"/>
      <c r="CK266" s="554"/>
      <c r="CL266" s="554"/>
      <c r="CM266" s="554"/>
      <c r="CN266" s="554"/>
      <c r="CO266" s="554"/>
      <c r="CP266" s="554"/>
      <c r="CQ266" s="554"/>
      <c r="CR266" s="554"/>
      <c r="CS266" s="554"/>
      <c r="CT266" s="554"/>
      <c r="CU266" s="554"/>
      <c r="CV266" s="554"/>
      <c r="CW266" s="554"/>
      <c r="CX266" s="554"/>
      <c r="CY266" s="554"/>
      <c r="CZ266" s="554"/>
      <c r="DA266" s="554"/>
      <c r="DB266" s="554"/>
      <c r="DC266" s="554"/>
      <c r="DD266" s="554"/>
      <c r="DE266" s="534"/>
      <c r="DF266" s="534"/>
      <c r="DG266" s="534"/>
    </row>
    <row r="267" spans="1:111" ht="15" x14ac:dyDescent="0.25">
      <c r="A267" s="549">
        <f>IFERROR(IF(INDEX('Weather Cases'!$E$10:$E$94,MATCH('Load Criteria'!X267,'Weather Cases'!$H$10:$H$94,0),1)=1,1,"-"),"-")</f>
        <v>1</v>
      </c>
      <c r="B267" s="555" t="s">
        <v>558</v>
      </c>
      <c r="C267" s="555" t="s">
        <v>573</v>
      </c>
      <c r="D267" s="555" t="s">
        <v>579</v>
      </c>
      <c r="E267" s="555">
        <v>2</v>
      </c>
      <c r="F267" s="555" t="s">
        <v>580</v>
      </c>
      <c r="G267" s="556" t="str">
        <f>IFERROR(IF(MID('Load Criteria'!X267,FIND("_",'Load Criteria'!X267,1)+1,1)=LEFT(Control!$D$23,1),"YES","-"),"-")</f>
        <v>-</v>
      </c>
      <c r="H267" s="549" t="s">
        <v>22</v>
      </c>
      <c r="I267" s="557" t="s">
        <v>327</v>
      </c>
      <c r="J267" s="550">
        <f>Control!$D$25</f>
        <v>1</v>
      </c>
      <c r="K267" s="508" t="s">
        <v>571</v>
      </c>
      <c r="L267" s="508" t="s">
        <v>40</v>
      </c>
      <c r="M267" s="550">
        <v>3</v>
      </c>
      <c r="N267" s="550">
        <v>7</v>
      </c>
      <c r="O267" s="550"/>
      <c r="P267" s="392"/>
      <c r="Q267" s="392"/>
      <c r="R267" s="392"/>
      <c r="S267" s="392"/>
      <c r="T267" s="392"/>
      <c r="U267" s="255" t="s">
        <v>568</v>
      </c>
      <c r="V267" s="551"/>
      <c r="W267" s="542" t="str">
        <f t="shared" si="398"/>
        <v>RW0001_8+TB37 NA+</v>
      </c>
      <c r="X267" s="552" t="str">
        <f>I267&amp;TEXT(J267,"0000")&amp;"_"&amp;LEFT(Control!$D$22,LEN(Control!$D$22)-2)</f>
        <v>RW0001_8</v>
      </c>
      <c r="Y267" s="552" t="s">
        <v>433</v>
      </c>
      <c r="Z267" s="552" t="str">
        <f t="shared" si="459"/>
        <v>NA+</v>
      </c>
      <c r="AA267" s="552"/>
      <c r="AB267" s="552">
        <v>1</v>
      </c>
      <c r="AC267" s="552">
        <v>1</v>
      </c>
      <c r="AD267" s="552">
        <v>1</v>
      </c>
      <c r="AE267" s="552">
        <v>1</v>
      </c>
      <c r="AF267" s="552">
        <v>1</v>
      </c>
      <c r="AG267" s="542" t="s">
        <v>561</v>
      </c>
      <c r="AH267" s="552">
        <v>0</v>
      </c>
      <c r="AI267" s="552">
        <v>0</v>
      </c>
      <c r="AJ267" s="552">
        <v>1</v>
      </c>
      <c r="AK267" s="552">
        <v>1</v>
      </c>
      <c r="AL267" s="552">
        <v>1</v>
      </c>
      <c r="AM267" s="552">
        <v>0</v>
      </c>
      <c r="AN267" s="552">
        <v>0</v>
      </c>
      <c r="AO267" s="552">
        <v>1</v>
      </c>
      <c r="AP267" s="552">
        <v>1</v>
      </c>
      <c r="AQ267" s="552">
        <v>1</v>
      </c>
      <c r="AR267" s="552">
        <v>1</v>
      </c>
      <c r="AS267" s="552">
        <v>1</v>
      </c>
      <c r="AT267" s="552">
        <v>1</v>
      </c>
      <c r="AU267" s="552">
        <v>1</v>
      </c>
      <c r="AV267" s="553" t="str">
        <f>IF(H267="YES",IF($AV$2="Y","'"&amp;INDEX('Structure Groups'!$C$12:$C$14,MATCH($B$5,'Structure Groups'!$B$12:$B$14,0),1)&amp;"'","'"&amp;INDEX('Structure Groups'!$C$16:$C$18,MATCH($B$5,'Structure Groups'!$B$16:$B$18,0),1)&amp;"'"),IF($AV$2="Y","'All'","'Stop'"))</f>
        <v>'Stop'</v>
      </c>
      <c r="AW267" s="552" t="s">
        <v>562</v>
      </c>
      <c r="AX267" s="552"/>
      <c r="AY267" s="552" t="str">
        <f t="shared" si="460"/>
        <v>Yes</v>
      </c>
      <c r="AZ267" s="554" t="str">
        <f t="shared" si="405"/>
        <v>3:1:Back</v>
      </c>
      <c r="BA267" s="554" t="str">
        <f t="shared" si="406"/>
        <v>Broken Wire (# Broken Subconductors)</v>
      </c>
      <c r="BB267" s="552">
        <f t="shared" si="461"/>
        <v>4</v>
      </c>
      <c r="BC267" s="554" t="str">
        <f t="shared" si="408"/>
        <v>13:1:Back</v>
      </c>
      <c r="BD267" s="554" t="str">
        <f t="shared" si="409"/>
        <v>Broken Wire (# Broken Subconductors)</v>
      </c>
      <c r="BE267" s="552">
        <f t="shared" si="462"/>
        <v>4</v>
      </c>
      <c r="BF267" s="554" t="str">
        <f t="shared" si="403"/>
        <v>7:1:Back</v>
      </c>
      <c r="BG267" s="554" t="str">
        <f t="shared" si="411"/>
        <v>Broken Wire (# Broken Subconductors)</v>
      </c>
      <c r="BH267" s="552">
        <f t="shared" si="463"/>
        <v>4</v>
      </c>
      <c r="BI267" s="554" t="str">
        <f t="shared" si="413"/>
        <v>17:1:Back</v>
      </c>
      <c r="BJ267" s="554" t="str">
        <f t="shared" si="414"/>
        <v>Broken Wire (# Broken Subconductors)</v>
      </c>
      <c r="BK267" s="552">
        <f t="shared" si="464"/>
        <v>4</v>
      </c>
      <c r="BL267" s="554" t="str">
        <f t="shared" si="416"/>
        <v/>
      </c>
      <c r="BM267" s="554" t="str">
        <f t="shared" si="417"/>
        <v/>
      </c>
      <c r="BN267" s="552" t="str">
        <f t="shared" si="465"/>
        <v/>
      </c>
      <c r="BO267" s="554" t="str">
        <f t="shared" si="419"/>
        <v/>
      </c>
      <c r="BP267" s="554" t="str">
        <f t="shared" si="420"/>
        <v/>
      </c>
      <c r="BQ267" s="552" t="str">
        <f t="shared" si="466"/>
        <v/>
      </c>
      <c r="BR267" s="554"/>
      <c r="BS267" s="554"/>
      <c r="BT267" s="554"/>
      <c r="BU267" s="554"/>
      <c r="BV267" s="554"/>
      <c r="BW267" s="554"/>
      <c r="BX267" s="554"/>
      <c r="BY267" s="554"/>
      <c r="BZ267" s="554"/>
      <c r="CA267" s="554"/>
      <c r="CB267" s="554"/>
      <c r="CC267" s="554"/>
      <c r="CD267" s="554"/>
      <c r="CE267" s="554"/>
      <c r="CF267" s="554"/>
      <c r="CG267" s="554"/>
      <c r="CH267" s="554"/>
      <c r="CI267" s="554"/>
      <c r="CJ267" s="554"/>
      <c r="CK267" s="554"/>
      <c r="CL267" s="554"/>
      <c r="CM267" s="554"/>
      <c r="CN267" s="554"/>
      <c r="CO267" s="554"/>
      <c r="CP267" s="554"/>
      <c r="CQ267" s="554"/>
      <c r="CR267" s="554"/>
      <c r="CS267" s="554"/>
      <c r="CT267" s="554"/>
      <c r="CU267" s="554"/>
      <c r="CV267" s="554"/>
      <c r="CW267" s="554"/>
      <c r="CX267" s="554"/>
      <c r="CY267" s="554"/>
      <c r="CZ267" s="554"/>
      <c r="DA267" s="554"/>
      <c r="DB267" s="554"/>
      <c r="DC267" s="554"/>
      <c r="DD267" s="554"/>
      <c r="DE267" s="534"/>
      <c r="DF267" s="534"/>
      <c r="DG267" s="534"/>
    </row>
    <row r="268" spans="1:111" ht="15" x14ac:dyDescent="0.25">
      <c r="A268" s="549">
        <f>IFERROR(IF(INDEX('Weather Cases'!$E$10:$E$94,MATCH('Load Criteria'!X268,'Weather Cases'!$H$10:$H$94,0),1)=1,1,"-"),"-")</f>
        <v>1</v>
      </c>
      <c r="B268" s="555" t="s">
        <v>558</v>
      </c>
      <c r="C268" s="555" t="s">
        <v>573</v>
      </c>
      <c r="D268" s="555" t="s">
        <v>579</v>
      </c>
      <c r="E268" s="555">
        <v>2</v>
      </c>
      <c r="F268" s="556" t="s">
        <v>22</v>
      </c>
      <c r="G268" s="556" t="str">
        <f>IFERROR(IF(MID('Load Criteria'!X268,FIND("_",'Load Criteria'!X268,1)+1,1)=LEFT(Control!$D$23,1),"YES","-"),"-")</f>
        <v>-</v>
      </c>
      <c r="H268" s="549" t="s">
        <v>22</v>
      </c>
      <c r="I268" s="557" t="s">
        <v>327</v>
      </c>
      <c r="J268" s="550">
        <f>Control!$D$25</f>
        <v>1</v>
      </c>
      <c r="K268" s="508" t="s">
        <v>571</v>
      </c>
      <c r="L268" s="508" t="s">
        <v>40</v>
      </c>
      <c r="M268" s="550">
        <v>4</v>
      </c>
      <c r="N268" s="550">
        <v>5</v>
      </c>
      <c r="O268" s="550"/>
      <c r="P268" s="392"/>
      <c r="Q268" s="392"/>
      <c r="R268" s="392"/>
      <c r="S268" s="392"/>
      <c r="T268" s="392"/>
      <c r="U268" s="255" t="s">
        <v>568</v>
      </c>
      <c r="V268" s="551"/>
      <c r="W268" s="542" t="str">
        <f t="shared" si="398"/>
        <v>RW0001_8+TB45 NA+</v>
      </c>
      <c r="X268" s="552" t="str">
        <f>I268&amp;TEXT(J268,"0000")&amp;"_"&amp;LEFT(Control!$D$22,LEN(Control!$D$22)-2)</f>
        <v>RW0001_8</v>
      </c>
      <c r="Y268" s="552" t="s">
        <v>433</v>
      </c>
      <c r="Z268" s="552" t="str">
        <f t="shared" si="459"/>
        <v>NA+</v>
      </c>
      <c r="AA268" s="552"/>
      <c r="AB268" s="552">
        <v>1</v>
      </c>
      <c r="AC268" s="552">
        <v>1</v>
      </c>
      <c r="AD268" s="552">
        <v>1</v>
      </c>
      <c r="AE268" s="552">
        <v>1</v>
      </c>
      <c r="AF268" s="552">
        <v>1</v>
      </c>
      <c r="AG268" s="542" t="s">
        <v>561</v>
      </c>
      <c r="AH268" s="552">
        <v>0</v>
      </c>
      <c r="AI268" s="552">
        <v>0</v>
      </c>
      <c r="AJ268" s="552">
        <v>1</v>
      </c>
      <c r="AK268" s="552">
        <v>1</v>
      </c>
      <c r="AL268" s="552">
        <v>1</v>
      </c>
      <c r="AM268" s="552">
        <v>0</v>
      </c>
      <c r="AN268" s="552">
        <v>0</v>
      </c>
      <c r="AO268" s="552">
        <v>1</v>
      </c>
      <c r="AP268" s="552">
        <v>1</v>
      </c>
      <c r="AQ268" s="552">
        <v>1</v>
      </c>
      <c r="AR268" s="552">
        <v>1</v>
      </c>
      <c r="AS268" s="552">
        <v>1</v>
      </c>
      <c r="AT268" s="552">
        <v>1</v>
      </c>
      <c r="AU268" s="552">
        <v>1</v>
      </c>
      <c r="AV268" s="553" t="str">
        <f>IF(H268="YES",IF($AV$2="Y","'"&amp;INDEX('Structure Groups'!$C$12:$C$14,MATCH($B$5,'Structure Groups'!$B$12:$B$14,0),1)&amp;"'","'"&amp;INDEX('Structure Groups'!$C$16:$C$18,MATCH($B$5,'Structure Groups'!$B$16:$B$18,0),1)&amp;"'"),IF($AV$2="Y","'All'","'Stop'"))</f>
        <v>'Stop'</v>
      </c>
      <c r="AW268" s="552" t="s">
        <v>562</v>
      </c>
      <c r="AX268" s="552"/>
      <c r="AY268" s="552" t="str">
        <f t="shared" si="460"/>
        <v>Yes</v>
      </c>
      <c r="AZ268" s="554" t="str">
        <f t="shared" si="405"/>
        <v>4:1:Back</v>
      </c>
      <c r="BA268" s="554" t="str">
        <f t="shared" si="406"/>
        <v>Broken Wire (# Broken Subconductors)</v>
      </c>
      <c r="BB268" s="552">
        <f t="shared" si="461"/>
        <v>4</v>
      </c>
      <c r="BC268" s="554" t="str">
        <f t="shared" si="408"/>
        <v>14:1:Back</v>
      </c>
      <c r="BD268" s="554" t="str">
        <f t="shared" si="409"/>
        <v>Broken Wire (# Broken Subconductors)</v>
      </c>
      <c r="BE268" s="552">
        <f t="shared" si="462"/>
        <v>4</v>
      </c>
      <c r="BF268" s="554" t="str">
        <f t="shared" si="403"/>
        <v>5:1:Back</v>
      </c>
      <c r="BG268" s="554" t="str">
        <f t="shared" si="411"/>
        <v>Broken Wire (# Broken Subconductors)</v>
      </c>
      <c r="BH268" s="552">
        <f t="shared" si="463"/>
        <v>4</v>
      </c>
      <c r="BI268" s="554" t="str">
        <f t="shared" si="413"/>
        <v>15:1:Back</v>
      </c>
      <c r="BJ268" s="554" t="str">
        <f t="shared" si="414"/>
        <v>Broken Wire (# Broken Subconductors)</v>
      </c>
      <c r="BK268" s="552">
        <f t="shared" si="464"/>
        <v>4</v>
      </c>
      <c r="BL268" s="554" t="str">
        <f t="shared" si="416"/>
        <v/>
      </c>
      <c r="BM268" s="554" t="str">
        <f t="shared" si="417"/>
        <v/>
      </c>
      <c r="BN268" s="552" t="str">
        <f t="shared" si="465"/>
        <v/>
      </c>
      <c r="BO268" s="554" t="str">
        <f t="shared" si="419"/>
        <v/>
      </c>
      <c r="BP268" s="554" t="str">
        <f t="shared" si="420"/>
        <v/>
      </c>
      <c r="BQ268" s="552" t="str">
        <f t="shared" si="466"/>
        <v/>
      </c>
      <c r="BR268" s="554"/>
      <c r="BS268" s="554"/>
      <c r="BT268" s="554"/>
      <c r="BU268" s="554"/>
      <c r="BV268" s="554"/>
      <c r="BW268" s="554"/>
      <c r="BX268" s="554"/>
      <c r="BY268" s="554"/>
      <c r="BZ268" s="554"/>
      <c r="CA268" s="554"/>
      <c r="CB268" s="554"/>
      <c r="CC268" s="554"/>
      <c r="CD268" s="554"/>
      <c r="CE268" s="554"/>
      <c r="CF268" s="554"/>
      <c r="CG268" s="554"/>
      <c r="CH268" s="554"/>
      <c r="CI268" s="554"/>
      <c r="CJ268" s="554"/>
      <c r="CK268" s="554"/>
      <c r="CL268" s="554"/>
      <c r="CM268" s="554"/>
      <c r="CN268" s="554"/>
      <c r="CO268" s="554"/>
      <c r="CP268" s="554"/>
      <c r="CQ268" s="554"/>
      <c r="CR268" s="554"/>
      <c r="CS268" s="554"/>
      <c r="CT268" s="554"/>
      <c r="CU268" s="554"/>
      <c r="CV268" s="554"/>
      <c r="CW268" s="554"/>
      <c r="CX268" s="554"/>
      <c r="CY268" s="554"/>
      <c r="CZ268" s="554"/>
      <c r="DA268" s="554"/>
      <c r="DB268" s="554"/>
      <c r="DC268" s="554"/>
      <c r="DD268" s="554"/>
      <c r="DE268" s="534"/>
      <c r="DF268" s="534"/>
      <c r="DG268" s="534"/>
    </row>
    <row r="269" spans="1:111" ht="15" x14ac:dyDescent="0.25">
      <c r="A269" s="549">
        <f>IFERROR(IF(INDEX('Weather Cases'!$E$10:$E$94,MATCH('Load Criteria'!X269,'Weather Cases'!$H$10:$H$94,0),1)=1,1,"-"),"-")</f>
        <v>1</v>
      </c>
      <c r="B269" s="555" t="s">
        <v>558</v>
      </c>
      <c r="C269" s="555" t="s">
        <v>573</v>
      </c>
      <c r="D269" s="555" t="s">
        <v>579</v>
      </c>
      <c r="E269" s="555">
        <v>2</v>
      </c>
      <c r="F269" s="556" t="s">
        <v>22</v>
      </c>
      <c r="G269" s="556" t="str">
        <f>IFERROR(IF(MID('Load Criteria'!X269,FIND("_",'Load Criteria'!X269,1)+1,1)=LEFT(Control!$D$23,1),"YES","-"),"-")</f>
        <v>-</v>
      </c>
      <c r="H269" s="549" t="s">
        <v>22</v>
      </c>
      <c r="I269" s="557" t="s">
        <v>327</v>
      </c>
      <c r="J269" s="550">
        <f>Control!$D$25</f>
        <v>1</v>
      </c>
      <c r="K269" s="508" t="s">
        <v>571</v>
      </c>
      <c r="L269" s="508" t="s">
        <v>40</v>
      </c>
      <c r="M269" s="550">
        <v>4</v>
      </c>
      <c r="N269" s="550">
        <v>6</v>
      </c>
      <c r="O269" s="550"/>
      <c r="P269" s="392"/>
      <c r="Q269" s="392"/>
      <c r="R269" s="392"/>
      <c r="S269" s="392"/>
      <c r="T269" s="392"/>
      <c r="U269" s="255" t="s">
        <v>568</v>
      </c>
      <c r="V269" s="551"/>
      <c r="W269" s="542" t="str">
        <f t="shared" si="398"/>
        <v>RW0001_8+TB46 NA+</v>
      </c>
      <c r="X269" s="552" t="str">
        <f>I269&amp;TEXT(J269,"0000")&amp;"_"&amp;LEFT(Control!$D$22,LEN(Control!$D$22)-2)</f>
        <v>RW0001_8</v>
      </c>
      <c r="Y269" s="552" t="s">
        <v>433</v>
      </c>
      <c r="Z269" s="552" t="str">
        <f t="shared" si="459"/>
        <v>NA+</v>
      </c>
      <c r="AA269" s="552"/>
      <c r="AB269" s="552">
        <v>1</v>
      </c>
      <c r="AC269" s="552">
        <v>1</v>
      </c>
      <c r="AD269" s="552">
        <v>1</v>
      </c>
      <c r="AE269" s="552">
        <v>1</v>
      </c>
      <c r="AF269" s="552">
        <v>1</v>
      </c>
      <c r="AG269" s="542" t="s">
        <v>561</v>
      </c>
      <c r="AH269" s="552">
        <v>0</v>
      </c>
      <c r="AI269" s="552">
        <v>0</v>
      </c>
      <c r="AJ269" s="552">
        <v>1</v>
      </c>
      <c r="AK269" s="552">
        <v>1</v>
      </c>
      <c r="AL269" s="552">
        <v>1</v>
      </c>
      <c r="AM269" s="552">
        <v>0</v>
      </c>
      <c r="AN269" s="552">
        <v>0</v>
      </c>
      <c r="AO269" s="552">
        <v>1</v>
      </c>
      <c r="AP269" s="552">
        <v>1</v>
      </c>
      <c r="AQ269" s="552">
        <v>1</v>
      </c>
      <c r="AR269" s="552">
        <v>1</v>
      </c>
      <c r="AS269" s="552">
        <v>1</v>
      </c>
      <c r="AT269" s="552">
        <v>1</v>
      </c>
      <c r="AU269" s="552">
        <v>1</v>
      </c>
      <c r="AV269" s="553" t="str">
        <f>IF(H269="YES",IF($AV$2="Y","'"&amp;INDEX('Structure Groups'!$C$12:$C$14,MATCH($B$5,'Structure Groups'!$B$12:$B$14,0),1)&amp;"'","'"&amp;INDEX('Structure Groups'!$C$16:$C$18,MATCH($B$5,'Structure Groups'!$B$16:$B$18,0),1)&amp;"'"),IF($AV$2="Y","'All'","'Stop'"))</f>
        <v>'Stop'</v>
      </c>
      <c r="AW269" s="552" t="s">
        <v>562</v>
      </c>
      <c r="AX269" s="552"/>
      <c r="AY269" s="552" t="str">
        <f t="shared" si="460"/>
        <v>Yes</v>
      </c>
      <c r="AZ269" s="554" t="str">
        <f t="shared" si="405"/>
        <v>4:1:Back</v>
      </c>
      <c r="BA269" s="554" t="str">
        <f t="shared" si="406"/>
        <v>Broken Wire (# Broken Subconductors)</v>
      </c>
      <c r="BB269" s="552">
        <f t="shared" si="461"/>
        <v>4</v>
      </c>
      <c r="BC269" s="554" t="str">
        <f t="shared" si="408"/>
        <v>14:1:Back</v>
      </c>
      <c r="BD269" s="554" t="str">
        <f t="shared" si="409"/>
        <v>Broken Wire (# Broken Subconductors)</v>
      </c>
      <c r="BE269" s="552">
        <f t="shared" si="462"/>
        <v>4</v>
      </c>
      <c r="BF269" s="554" t="str">
        <f t="shared" si="403"/>
        <v>6:1:Back</v>
      </c>
      <c r="BG269" s="554" t="str">
        <f t="shared" si="411"/>
        <v>Broken Wire (# Broken Subconductors)</v>
      </c>
      <c r="BH269" s="552">
        <f t="shared" si="463"/>
        <v>4</v>
      </c>
      <c r="BI269" s="554" t="str">
        <f t="shared" si="413"/>
        <v>16:1:Back</v>
      </c>
      <c r="BJ269" s="554" t="str">
        <f t="shared" si="414"/>
        <v>Broken Wire (# Broken Subconductors)</v>
      </c>
      <c r="BK269" s="552">
        <f t="shared" si="464"/>
        <v>4</v>
      </c>
      <c r="BL269" s="554" t="str">
        <f t="shared" si="416"/>
        <v/>
      </c>
      <c r="BM269" s="554" t="str">
        <f t="shared" si="417"/>
        <v/>
      </c>
      <c r="BN269" s="552" t="str">
        <f t="shared" si="465"/>
        <v/>
      </c>
      <c r="BO269" s="554" t="str">
        <f t="shared" si="419"/>
        <v/>
      </c>
      <c r="BP269" s="554" t="str">
        <f t="shared" si="420"/>
        <v/>
      </c>
      <c r="BQ269" s="552" t="str">
        <f t="shared" si="466"/>
        <v/>
      </c>
      <c r="BR269" s="554"/>
      <c r="BS269" s="554"/>
      <c r="BT269" s="554"/>
      <c r="BU269" s="554"/>
      <c r="BV269" s="554"/>
      <c r="BW269" s="554"/>
      <c r="BX269" s="554"/>
      <c r="BY269" s="554"/>
      <c r="BZ269" s="554"/>
      <c r="CA269" s="554"/>
      <c r="CB269" s="554"/>
      <c r="CC269" s="554"/>
      <c r="CD269" s="554"/>
      <c r="CE269" s="554"/>
      <c r="CF269" s="554"/>
      <c r="CG269" s="554"/>
      <c r="CH269" s="554"/>
      <c r="CI269" s="554"/>
      <c r="CJ269" s="554"/>
      <c r="CK269" s="554"/>
      <c r="CL269" s="554"/>
      <c r="CM269" s="554"/>
      <c r="CN269" s="554"/>
      <c r="CO269" s="554"/>
      <c r="CP269" s="554"/>
      <c r="CQ269" s="554"/>
      <c r="CR269" s="554"/>
      <c r="CS269" s="554"/>
      <c r="CT269" s="554"/>
      <c r="CU269" s="554"/>
      <c r="CV269" s="554"/>
      <c r="CW269" s="554"/>
      <c r="CX269" s="554"/>
      <c r="CY269" s="554"/>
      <c r="CZ269" s="554"/>
      <c r="DA269" s="554"/>
      <c r="DB269" s="554"/>
      <c r="DC269" s="554"/>
      <c r="DD269" s="554"/>
      <c r="DE269" s="534"/>
      <c r="DF269" s="534"/>
      <c r="DG269" s="534"/>
    </row>
    <row r="270" spans="1:111" ht="15" x14ac:dyDescent="0.25">
      <c r="A270" s="549">
        <f>IFERROR(IF(INDEX('Weather Cases'!$E$10:$E$94,MATCH('Load Criteria'!X270,'Weather Cases'!$H$10:$H$94,0),1)=1,1,"-"),"-")</f>
        <v>1</v>
      </c>
      <c r="B270" s="555" t="s">
        <v>558</v>
      </c>
      <c r="C270" s="555" t="s">
        <v>573</v>
      </c>
      <c r="D270" s="555" t="s">
        <v>579</v>
      </c>
      <c r="E270" s="555">
        <v>2</v>
      </c>
      <c r="F270" s="556" t="s">
        <v>22</v>
      </c>
      <c r="G270" s="556" t="str">
        <f>IFERROR(IF(MID('Load Criteria'!X270,FIND("_",'Load Criteria'!X270,1)+1,1)=LEFT(Control!$D$23,1),"YES","-"),"-")</f>
        <v>-</v>
      </c>
      <c r="H270" s="549" t="s">
        <v>22</v>
      </c>
      <c r="I270" s="557" t="s">
        <v>327</v>
      </c>
      <c r="J270" s="550">
        <f>Control!$D$25</f>
        <v>1</v>
      </c>
      <c r="K270" s="508" t="s">
        <v>571</v>
      </c>
      <c r="L270" s="508" t="s">
        <v>40</v>
      </c>
      <c r="M270" s="550">
        <v>5</v>
      </c>
      <c r="N270" s="550">
        <v>6</v>
      </c>
      <c r="O270" s="550"/>
      <c r="P270" s="392"/>
      <c r="Q270" s="392"/>
      <c r="R270" s="392"/>
      <c r="S270" s="392"/>
      <c r="T270" s="392"/>
      <c r="U270" s="255" t="s">
        <v>568</v>
      </c>
      <c r="V270" s="551"/>
      <c r="W270" s="542" t="str">
        <f t="shared" si="398"/>
        <v>RW0001_8+TB56 NA+</v>
      </c>
      <c r="X270" s="552" t="str">
        <f>I270&amp;TEXT(J270,"0000")&amp;"_"&amp;LEFT(Control!$D$22,LEN(Control!$D$22)-2)</f>
        <v>RW0001_8</v>
      </c>
      <c r="Y270" s="552" t="s">
        <v>433</v>
      </c>
      <c r="Z270" s="552" t="str">
        <f t="shared" si="459"/>
        <v>NA+</v>
      </c>
      <c r="AA270" s="552"/>
      <c r="AB270" s="552">
        <v>1</v>
      </c>
      <c r="AC270" s="552">
        <v>1</v>
      </c>
      <c r="AD270" s="552">
        <v>1</v>
      </c>
      <c r="AE270" s="552">
        <v>1</v>
      </c>
      <c r="AF270" s="552">
        <v>1</v>
      </c>
      <c r="AG270" s="542" t="s">
        <v>561</v>
      </c>
      <c r="AH270" s="552">
        <v>0</v>
      </c>
      <c r="AI270" s="552">
        <v>0</v>
      </c>
      <c r="AJ270" s="552">
        <v>1</v>
      </c>
      <c r="AK270" s="552">
        <v>1</v>
      </c>
      <c r="AL270" s="552">
        <v>1</v>
      </c>
      <c r="AM270" s="552">
        <v>0</v>
      </c>
      <c r="AN270" s="552">
        <v>0</v>
      </c>
      <c r="AO270" s="552">
        <v>1</v>
      </c>
      <c r="AP270" s="552">
        <v>1</v>
      </c>
      <c r="AQ270" s="552">
        <v>1</v>
      </c>
      <c r="AR270" s="552">
        <v>1</v>
      </c>
      <c r="AS270" s="552">
        <v>1</v>
      </c>
      <c r="AT270" s="552">
        <v>1</v>
      </c>
      <c r="AU270" s="552">
        <v>1</v>
      </c>
      <c r="AV270" s="553" t="str">
        <f>IF(H270="YES",IF($AV$2="Y","'"&amp;INDEX('Structure Groups'!$C$12:$C$14,MATCH($B$5,'Structure Groups'!$B$12:$B$14,0),1)&amp;"'","'"&amp;INDEX('Structure Groups'!$C$16:$C$18,MATCH($B$5,'Structure Groups'!$B$16:$B$18,0),1)&amp;"'"),IF($AV$2="Y","'All'","'Stop'"))</f>
        <v>'Stop'</v>
      </c>
      <c r="AW270" s="552" t="s">
        <v>562</v>
      </c>
      <c r="AX270" s="552"/>
      <c r="AY270" s="552" t="str">
        <f t="shared" si="460"/>
        <v>Yes</v>
      </c>
      <c r="AZ270" s="554" t="str">
        <f t="shared" si="405"/>
        <v>5:1:Back</v>
      </c>
      <c r="BA270" s="554" t="str">
        <f t="shared" si="406"/>
        <v>Broken Wire (# Broken Subconductors)</v>
      </c>
      <c r="BB270" s="552">
        <f t="shared" si="461"/>
        <v>4</v>
      </c>
      <c r="BC270" s="554" t="str">
        <f t="shared" si="408"/>
        <v>15:1:Back</v>
      </c>
      <c r="BD270" s="554" t="str">
        <f t="shared" si="409"/>
        <v>Broken Wire (# Broken Subconductors)</v>
      </c>
      <c r="BE270" s="552">
        <f t="shared" si="462"/>
        <v>4</v>
      </c>
      <c r="BF270" s="554" t="str">
        <f t="shared" si="403"/>
        <v>6:1:Back</v>
      </c>
      <c r="BG270" s="554" t="str">
        <f t="shared" si="411"/>
        <v>Broken Wire (# Broken Subconductors)</v>
      </c>
      <c r="BH270" s="552">
        <f t="shared" si="463"/>
        <v>4</v>
      </c>
      <c r="BI270" s="554" t="str">
        <f t="shared" si="413"/>
        <v>16:1:Back</v>
      </c>
      <c r="BJ270" s="554" t="str">
        <f t="shared" si="414"/>
        <v>Broken Wire (# Broken Subconductors)</v>
      </c>
      <c r="BK270" s="552">
        <f t="shared" si="464"/>
        <v>4</v>
      </c>
      <c r="BL270" s="554" t="str">
        <f t="shared" si="416"/>
        <v/>
      </c>
      <c r="BM270" s="554" t="str">
        <f t="shared" si="417"/>
        <v/>
      </c>
      <c r="BN270" s="552" t="str">
        <f t="shared" si="465"/>
        <v/>
      </c>
      <c r="BO270" s="554" t="str">
        <f t="shared" si="419"/>
        <v/>
      </c>
      <c r="BP270" s="554" t="str">
        <f t="shared" si="420"/>
        <v/>
      </c>
      <c r="BQ270" s="552" t="str">
        <f t="shared" si="466"/>
        <v/>
      </c>
      <c r="BR270" s="554"/>
      <c r="BS270" s="554"/>
      <c r="BT270" s="554"/>
      <c r="BU270" s="554"/>
      <c r="BV270" s="554"/>
      <c r="BW270" s="554"/>
      <c r="BX270" s="554"/>
      <c r="BY270" s="554"/>
      <c r="BZ270" s="554"/>
      <c r="CA270" s="554"/>
      <c r="CB270" s="554"/>
      <c r="CC270" s="554"/>
      <c r="CD270" s="554"/>
      <c r="CE270" s="554"/>
      <c r="CF270" s="554"/>
      <c r="CG270" s="554"/>
      <c r="CH270" s="554"/>
      <c r="CI270" s="554"/>
      <c r="CJ270" s="554"/>
      <c r="CK270" s="554"/>
      <c r="CL270" s="554"/>
      <c r="CM270" s="554"/>
      <c r="CN270" s="554"/>
      <c r="CO270" s="554"/>
      <c r="CP270" s="554"/>
      <c r="CQ270" s="554"/>
      <c r="CR270" s="554"/>
      <c r="CS270" s="554"/>
      <c r="CT270" s="554"/>
      <c r="CU270" s="554"/>
      <c r="CV270" s="554"/>
      <c r="CW270" s="554"/>
      <c r="CX270" s="554"/>
      <c r="CY270" s="554"/>
      <c r="CZ270" s="554"/>
      <c r="DA270" s="554"/>
      <c r="DB270" s="554"/>
      <c r="DC270" s="554"/>
      <c r="DD270" s="554"/>
      <c r="DE270" s="534"/>
      <c r="DF270" s="534"/>
      <c r="DG270" s="534"/>
    </row>
    <row r="271" spans="1:111" ht="15" x14ac:dyDescent="0.25">
      <c r="A271" s="549">
        <f>IFERROR(IF(INDEX('Weather Cases'!$E$10:$E$94,MATCH('Load Criteria'!X271,'Weather Cases'!$H$10:$H$94,0),1)=1,1,"-"),"-")</f>
        <v>1</v>
      </c>
      <c r="B271" s="555" t="s">
        <v>558</v>
      </c>
      <c r="C271" s="555" t="s">
        <v>573</v>
      </c>
      <c r="D271" s="555" t="s">
        <v>579</v>
      </c>
      <c r="E271" s="555">
        <v>2</v>
      </c>
      <c r="F271" s="555" t="s">
        <v>581</v>
      </c>
      <c r="G271" s="556" t="str">
        <f>IFERROR(IF(MID('Load Criteria'!X271,FIND("_",'Load Criteria'!X271,1)+1,1)=LEFT(Control!$D$23,1),"YES","-"),"-")</f>
        <v>-</v>
      </c>
      <c r="H271" s="549" t="s">
        <v>22</v>
      </c>
      <c r="I271" s="557" t="s">
        <v>327</v>
      </c>
      <c r="J271" s="550">
        <f>Control!$D$25</f>
        <v>1</v>
      </c>
      <c r="K271" s="508" t="s">
        <v>571</v>
      </c>
      <c r="L271" s="508" t="s">
        <v>40</v>
      </c>
      <c r="M271" s="550">
        <v>6</v>
      </c>
      <c r="N271" s="550">
        <v>8</v>
      </c>
      <c r="O271" s="550"/>
      <c r="P271" s="392"/>
      <c r="Q271" s="392"/>
      <c r="R271" s="392"/>
      <c r="S271" s="392"/>
      <c r="T271" s="392"/>
      <c r="U271" s="255" t="s">
        <v>568</v>
      </c>
      <c r="V271" s="551"/>
      <c r="W271" s="542" t="str">
        <f t="shared" si="398"/>
        <v>RW0001_8+TB68 NA+</v>
      </c>
      <c r="X271" s="552" t="str">
        <f>I271&amp;TEXT(J271,"0000")&amp;"_"&amp;LEFT(Control!$D$22,LEN(Control!$D$22)-2)</f>
        <v>RW0001_8</v>
      </c>
      <c r="Y271" s="552" t="s">
        <v>433</v>
      </c>
      <c r="Z271" s="552" t="str">
        <f t="shared" si="459"/>
        <v>NA+</v>
      </c>
      <c r="AA271" s="552"/>
      <c r="AB271" s="552">
        <v>1</v>
      </c>
      <c r="AC271" s="552">
        <v>1</v>
      </c>
      <c r="AD271" s="552">
        <v>1</v>
      </c>
      <c r="AE271" s="552">
        <v>1</v>
      </c>
      <c r="AF271" s="552">
        <v>1</v>
      </c>
      <c r="AG271" s="542" t="s">
        <v>561</v>
      </c>
      <c r="AH271" s="552">
        <v>0</v>
      </c>
      <c r="AI271" s="552">
        <v>0</v>
      </c>
      <c r="AJ271" s="552">
        <v>1</v>
      </c>
      <c r="AK271" s="552">
        <v>1</v>
      </c>
      <c r="AL271" s="552">
        <v>1</v>
      </c>
      <c r="AM271" s="552">
        <v>0</v>
      </c>
      <c r="AN271" s="552">
        <v>0</v>
      </c>
      <c r="AO271" s="552">
        <v>1</v>
      </c>
      <c r="AP271" s="552">
        <v>1</v>
      </c>
      <c r="AQ271" s="552">
        <v>1</v>
      </c>
      <c r="AR271" s="552">
        <v>1</v>
      </c>
      <c r="AS271" s="552">
        <v>1</v>
      </c>
      <c r="AT271" s="552">
        <v>1</v>
      </c>
      <c r="AU271" s="552">
        <v>1</v>
      </c>
      <c r="AV271" s="553" t="str">
        <f>IF(H271="YES",IF($AV$2="Y","'"&amp;INDEX('Structure Groups'!$C$12:$C$14,MATCH($B$5,'Structure Groups'!$B$12:$B$14,0),1)&amp;"'","'"&amp;INDEX('Structure Groups'!$C$16:$C$18,MATCH($B$5,'Structure Groups'!$B$16:$B$18,0),1)&amp;"'"),IF($AV$2="Y","'All'","'Stop'"))</f>
        <v>'Stop'</v>
      </c>
      <c r="AW271" s="552" t="s">
        <v>562</v>
      </c>
      <c r="AX271" s="552"/>
      <c r="AY271" s="552" t="str">
        <f t="shared" si="460"/>
        <v>Yes</v>
      </c>
      <c r="AZ271" s="554" t="str">
        <f t="shared" si="405"/>
        <v>6:1:Back</v>
      </c>
      <c r="BA271" s="554" t="str">
        <f t="shared" si="406"/>
        <v>Broken Wire (# Broken Subconductors)</v>
      </c>
      <c r="BB271" s="552">
        <f t="shared" si="461"/>
        <v>4</v>
      </c>
      <c r="BC271" s="554" t="str">
        <f t="shared" si="408"/>
        <v>16:1:Back</v>
      </c>
      <c r="BD271" s="554" t="str">
        <f t="shared" si="409"/>
        <v>Broken Wire (# Broken Subconductors)</v>
      </c>
      <c r="BE271" s="552">
        <f t="shared" si="462"/>
        <v>4</v>
      </c>
      <c r="BF271" s="554" t="str">
        <f t="shared" si="403"/>
        <v>8:1:Back</v>
      </c>
      <c r="BG271" s="554" t="str">
        <f t="shared" si="411"/>
        <v>Broken Wire (# Broken Subconductors)</v>
      </c>
      <c r="BH271" s="552">
        <f t="shared" si="463"/>
        <v>4</v>
      </c>
      <c r="BI271" s="554" t="str">
        <f t="shared" si="413"/>
        <v>18:1:Back</v>
      </c>
      <c r="BJ271" s="554" t="str">
        <f t="shared" si="414"/>
        <v>Broken Wire (# Broken Subconductors)</v>
      </c>
      <c r="BK271" s="552">
        <f t="shared" si="464"/>
        <v>4</v>
      </c>
      <c r="BL271" s="554" t="str">
        <f t="shared" si="416"/>
        <v/>
      </c>
      <c r="BM271" s="554" t="str">
        <f t="shared" si="417"/>
        <v/>
      </c>
      <c r="BN271" s="552" t="str">
        <f t="shared" si="465"/>
        <v/>
      </c>
      <c r="BO271" s="554" t="str">
        <f t="shared" si="419"/>
        <v/>
      </c>
      <c r="BP271" s="554" t="str">
        <f t="shared" si="420"/>
        <v/>
      </c>
      <c r="BQ271" s="552" t="str">
        <f t="shared" si="466"/>
        <v/>
      </c>
      <c r="BR271" s="554"/>
      <c r="BS271" s="554"/>
      <c r="BT271" s="554"/>
      <c r="BU271" s="554"/>
      <c r="BV271" s="554"/>
      <c r="BW271" s="554"/>
      <c r="BX271" s="554"/>
      <c r="BY271" s="554"/>
      <c r="BZ271" s="554"/>
      <c r="CA271" s="554"/>
      <c r="CB271" s="554"/>
      <c r="CC271" s="554"/>
      <c r="CD271" s="554"/>
      <c r="CE271" s="554"/>
      <c r="CF271" s="554"/>
      <c r="CG271" s="554"/>
      <c r="CH271" s="554"/>
      <c r="CI271" s="554"/>
      <c r="CJ271" s="554"/>
      <c r="CK271" s="554"/>
      <c r="CL271" s="554"/>
      <c r="CM271" s="554"/>
      <c r="CN271" s="554"/>
      <c r="CO271" s="554"/>
      <c r="CP271" s="554"/>
      <c r="CQ271" s="554"/>
      <c r="CR271" s="554"/>
      <c r="CS271" s="554"/>
      <c r="CT271" s="554"/>
      <c r="CU271" s="554"/>
      <c r="CV271" s="554"/>
      <c r="CW271" s="554"/>
      <c r="CX271" s="554"/>
      <c r="CY271" s="554"/>
      <c r="CZ271" s="554"/>
      <c r="DA271" s="554"/>
      <c r="DB271" s="554"/>
      <c r="DC271" s="554"/>
      <c r="DD271" s="554"/>
      <c r="DE271" s="534"/>
      <c r="DF271" s="534"/>
      <c r="DG271" s="534"/>
    </row>
    <row r="272" spans="1:111" ht="15" x14ac:dyDescent="0.25">
      <c r="A272" s="549">
        <f>IFERROR(IF(INDEX('Weather Cases'!$E$10:$E$94,MATCH('Load Criteria'!X272,'Weather Cases'!$H$10:$H$94,0),1)=1,1,"-"),"-")</f>
        <v>1</v>
      </c>
      <c r="B272" s="555" t="s">
        <v>558</v>
      </c>
      <c r="C272" s="555" t="s">
        <v>573</v>
      </c>
      <c r="D272" s="555" t="s">
        <v>579</v>
      </c>
      <c r="E272" s="555">
        <v>2</v>
      </c>
      <c r="F272" s="556" t="s">
        <v>22</v>
      </c>
      <c r="G272" s="556" t="str">
        <f>IFERROR(IF(MID('Load Criteria'!X272,FIND("_",'Load Criteria'!X272,1)+1,1)=LEFT(Control!$D$23,1),"YES","-"),"-")</f>
        <v>-</v>
      </c>
      <c r="H272" s="549" t="s">
        <v>22</v>
      </c>
      <c r="I272" s="557" t="s">
        <v>327</v>
      </c>
      <c r="J272" s="550">
        <f>Control!$D$25</f>
        <v>1</v>
      </c>
      <c r="K272" s="508" t="s">
        <v>571</v>
      </c>
      <c r="L272" s="508" t="s">
        <v>24</v>
      </c>
      <c r="M272" s="550">
        <v>1</v>
      </c>
      <c r="N272" s="550">
        <v>2</v>
      </c>
      <c r="O272" s="550"/>
      <c r="P272" s="392"/>
      <c r="Q272" s="392"/>
      <c r="R272" s="392"/>
      <c r="S272" s="392"/>
      <c r="T272" s="392"/>
      <c r="U272" s="255" t="s">
        <v>574</v>
      </c>
      <c r="V272" s="551"/>
      <c r="W272" s="542" t="str">
        <f t="shared" si="398"/>
        <v>RW0001_8+TA12 NA-</v>
      </c>
      <c r="X272" s="552" t="str">
        <f>I272&amp;TEXT(J272,"0000")&amp;"_"&amp;LEFT(Control!$D$22,LEN(Control!$D$22)-2)</f>
        <v>RW0001_8</v>
      </c>
      <c r="Y272" s="552" t="s">
        <v>433</v>
      </c>
      <c r="Z272" s="552" t="str">
        <f t="shared" si="459"/>
        <v>NA-</v>
      </c>
      <c r="AA272" s="552"/>
      <c r="AB272" s="552">
        <v>1</v>
      </c>
      <c r="AC272" s="552">
        <v>1</v>
      </c>
      <c r="AD272" s="552">
        <v>1</v>
      </c>
      <c r="AE272" s="552">
        <v>1</v>
      </c>
      <c r="AF272" s="552">
        <v>1</v>
      </c>
      <c r="AG272" s="542" t="s">
        <v>561</v>
      </c>
      <c r="AH272" s="552">
        <v>0</v>
      </c>
      <c r="AI272" s="552">
        <v>0</v>
      </c>
      <c r="AJ272" s="552">
        <v>1</v>
      </c>
      <c r="AK272" s="552">
        <v>1</v>
      </c>
      <c r="AL272" s="552">
        <v>1</v>
      </c>
      <c r="AM272" s="552">
        <v>0</v>
      </c>
      <c r="AN272" s="552">
        <v>0</v>
      </c>
      <c r="AO272" s="552">
        <v>1</v>
      </c>
      <c r="AP272" s="552">
        <v>1</v>
      </c>
      <c r="AQ272" s="552">
        <v>1</v>
      </c>
      <c r="AR272" s="552">
        <v>1</v>
      </c>
      <c r="AS272" s="552">
        <v>1</v>
      </c>
      <c r="AT272" s="552">
        <v>1</v>
      </c>
      <c r="AU272" s="552">
        <v>1</v>
      </c>
      <c r="AV272" s="553" t="str">
        <f>IF(H272="YES",IF($AV$2="Y","'"&amp;INDEX('Structure Groups'!$C$12:$C$14,MATCH($B$5,'Structure Groups'!$B$12:$B$14,0),1)&amp;"'","'"&amp;INDEX('Structure Groups'!$C$16:$C$18,MATCH($B$5,'Structure Groups'!$B$16:$B$18,0),1)&amp;"'"),IF($AV$2="Y","'All'","'Stop'"))</f>
        <v>'Stop'</v>
      </c>
      <c r="AW272" s="552" t="s">
        <v>562</v>
      </c>
      <c r="AX272" s="552"/>
      <c r="AY272" s="552" t="str">
        <f t="shared" si="460"/>
        <v>Yes</v>
      </c>
      <c r="AZ272" s="554" t="str">
        <f t="shared" si="405"/>
        <v>1:1:Ahead</v>
      </c>
      <c r="BA272" s="554" t="str">
        <f t="shared" si="406"/>
        <v>Broken Wire (# Broken Subconductors)</v>
      </c>
      <c r="BB272" s="552">
        <f t="shared" si="461"/>
        <v>4</v>
      </c>
      <c r="BC272" s="554" t="str">
        <f t="shared" si="408"/>
        <v>11:1:Ahead</v>
      </c>
      <c r="BD272" s="554" t="str">
        <f t="shared" si="409"/>
        <v>Broken Wire (# Broken Subconductors)</v>
      </c>
      <c r="BE272" s="552">
        <f t="shared" si="462"/>
        <v>4</v>
      </c>
      <c r="BF272" s="554" t="str">
        <f t="shared" si="403"/>
        <v>2:1:Ahead</v>
      </c>
      <c r="BG272" s="554" t="str">
        <f t="shared" si="411"/>
        <v>Broken Wire (# Broken Subconductors)</v>
      </c>
      <c r="BH272" s="552">
        <f t="shared" si="463"/>
        <v>4</v>
      </c>
      <c r="BI272" s="554" t="str">
        <f t="shared" si="413"/>
        <v>12:1:Ahead</v>
      </c>
      <c r="BJ272" s="554" t="str">
        <f t="shared" si="414"/>
        <v>Broken Wire (# Broken Subconductors)</v>
      </c>
      <c r="BK272" s="552">
        <f t="shared" si="464"/>
        <v>4</v>
      </c>
      <c r="BL272" s="554" t="str">
        <f t="shared" si="416"/>
        <v/>
      </c>
      <c r="BM272" s="554" t="str">
        <f t="shared" si="417"/>
        <v/>
      </c>
      <c r="BN272" s="552" t="str">
        <f t="shared" si="465"/>
        <v/>
      </c>
      <c r="BO272" s="554" t="str">
        <f t="shared" si="419"/>
        <v/>
      </c>
      <c r="BP272" s="554" t="str">
        <f t="shared" si="420"/>
        <v/>
      </c>
      <c r="BQ272" s="552" t="str">
        <f t="shared" si="466"/>
        <v/>
      </c>
      <c r="BR272" s="554"/>
      <c r="BS272" s="554"/>
      <c r="BT272" s="554"/>
      <c r="BU272" s="554"/>
      <c r="BV272" s="554"/>
      <c r="BW272" s="554"/>
      <c r="BX272" s="554"/>
      <c r="BY272" s="554"/>
      <c r="BZ272" s="554"/>
      <c r="CA272" s="554"/>
      <c r="CB272" s="554"/>
      <c r="CC272" s="554"/>
      <c r="CD272" s="554"/>
      <c r="CE272" s="554"/>
      <c r="CF272" s="554"/>
      <c r="CG272" s="554"/>
      <c r="CH272" s="554"/>
      <c r="CI272" s="554"/>
      <c r="CJ272" s="554"/>
      <c r="CK272" s="554"/>
      <c r="CL272" s="554"/>
      <c r="CM272" s="554"/>
      <c r="CN272" s="554"/>
      <c r="CO272" s="554"/>
      <c r="CP272" s="554"/>
      <c r="CQ272" s="554"/>
      <c r="CR272" s="554"/>
      <c r="CS272" s="554"/>
      <c r="CT272" s="554"/>
      <c r="CU272" s="554"/>
      <c r="CV272" s="554"/>
      <c r="CW272" s="554"/>
      <c r="CX272" s="554"/>
      <c r="CY272" s="554"/>
      <c r="CZ272" s="554"/>
      <c r="DA272" s="554"/>
      <c r="DB272" s="554"/>
      <c r="DC272" s="554"/>
      <c r="DD272" s="554"/>
      <c r="DE272" s="534"/>
      <c r="DF272" s="534"/>
      <c r="DG272" s="534"/>
    </row>
    <row r="273" spans="1:111" ht="15" x14ac:dyDescent="0.25">
      <c r="A273" s="549">
        <f>IFERROR(IF(INDEX('Weather Cases'!$E$10:$E$94,MATCH('Load Criteria'!X273,'Weather Cases'!$H$10:$H$94,0),1)=1,1,"-"),"-")</f>
        <v>1</v>
      </c>
      <c r="B273" s="555" t="s">
        <v>558</v>
      </c>
      <c r="C273" s="555" t="s">
        <v>573</v>
      </c>
      <c r="D273" s="555" t="s">
        <v>579</v>
      </c>
      <c r="E273" s="555">
        <v>2</v>
      </c>
      <c r="F273" s="556" t="s">
        <v>22</v>
      </c>
      <c r="G273" s="556" t="str">
        <f>IFERROR(IF(MID('Load Criteria'!X273,FIND("_",'Load Criteria'!X273,1)+1,1)=LEFT(Control!$D$23,1),"YES","-"),"-")</f>
        <v>-</v>
      </c>
      <c r="H273" s="549" t="s">
        <v>22</v>
      </c>
      <c r="I273" s="557" t="s">
        <v>327</v>
      </c>
      <c r="J273" s="550">
        <f>Control!$D$25</f>
        <v>1</v>
      </c>
      <c r="K273" s="508" t="s">
        <v>571</v>
      </c>
      <c r="L273" s="508" t="s">
        <v>24</v>
      </c>
      <c r="M273" s="550">
        <v>2</v>
      </c>
      <c r="N273" s="550">
        <v>3</v>
      </c>
      <c r="O273" s="550"/>
      <c r="P273" s="392"/>
      <c r="Q273" s="392"/>
      <c r="R273" s="392"/>
      <c r="S273" s="392"/>
      <c r="T273" s="392"/>
      <c r="U273" s="255" t="s">
        <v>574</v>
      </c>
      <c r="V273" s="551"/>
      <c r="W273" s="542" t="str">
        <f t="shared" si="398"/>
        <v>RW0001_8+TA23 NA-</v>
      </c>
      <c r="X273" s="552" t="str">
        <f>I273&amp;TEXT(J273,"0000")&amp;"_"&amp;LEFT(Control!$D$22,LEN(Control!$D$22)-2)</f>
        <v>RW0001_8</v>
      </c>
      <c r="Y273" s="552" t="s">
        <v>433</v>
      </c>
      <c r="Z273" s="552" t="str">
        <f t="shared" si="459"/>
        <v>NA-</v>
      </c>
      <c r="AA273" s="552"/>
      <c r="AB273" s="552">
        <v>1</v>
      </c>
      <c r="AC273" s="552">
        <v>1</v>
      </c>
      <c r="AD273" s="552">
        <v>1</v>
      </c>
      <c r="AE273" s="552">
        <v>1</v>
      </c>
      <c r="AF273" s="552">
        <v>1</v>
      </c>
      <c r="AG273" s="542" t="s">
        <v>561</v>
      </c>
      <c r="AH273" s="552">
        <v>0</v>
      </c>
      <c r="AI273" s="552">
        <v>0</v>
      </c>
      <c r="AJ273" s="552">
        <v>1</v>
      </c>
      <c r="AK273" s="552">
        <v>1</v>
      </c>
      <c r="AL273" s="552">
        <v>1</v>
      </c>
      <c r="AM273" s="552">
        <v>0</v>
      </c>
      <c r="AN273" s="552">
        <v>0</v>
      </c>
      <c r="AO273" s="552">
        <v>1</v>
      </c>
      <c r="AP273" s="552">
        <v>1</v>
      </c>
      <c r="AQ273" s="552">
        <v>1</v>
      </c>
      <c r="AR273" s="552">
        <v>1</v>
      </c>
      <c r="AS273" s="552">
        <v>1</v>
      </c>
      <c r="AT273" s="552">
        <v>1</v>
      </c>
      <c r="AU273" s="552">
        <v>1</v>
      </c>
      <c r="AV273" s="553" t="str">
        <f>IF(H273="YES",IF($AV$2="Y","'"&amp;INDEX('Structure Groups'!$C$12:$C$14,MATCH($B$5,'Structure Groups'!$B$12:$B$14,0),1)&amp;"'","'"&amp;INDEX('Structure Groups'!$C$16:$C$18,MATCH($B$5,'Structure Groups'!$B$16:$B$18,0),1)&amp;"'"),IF($AV$2="Y","'All'","'Stop'"))</f>
        <v>'Stop'</v>
      </c>
      <c r="AW273" s="552" t="s">
        <v>562</v>
      </c>
      <c r="AX273" s="552"/>
      <c r="AY273" s="552" t="str">
        <f t="shared" si="460"/>
        <v>Yes</v>
      </c>
      <c r="AZ273" s="554" t="str">
        <f t="shared" si="405"/>
        <v>2:1:Ahead</v>
      </c>
      <c r="BA273" s="554" t="str">
        <f t="shared" si="406"/>
        <v>Broken Wire (# Broken Subconductors)</v>
      </c>
      <c r="BB273" s="552">
        <f t="shared" si="461"/>
        <v>4</v>
      </c>
      <c r="BC273" s="554" t="str">
        <f t="shared" si="408"/>
        <v>12:1:Ahead</v>
      </c>
      <c r="BD273" s="554" t="str">
        <f t="shared" si="409"/>
        <v>Broken Wire (# Broken Subconductors)</v>
      </c>
      <c r="BE273" s="552">
        <f t="shared" si="462"/>
        <v>4</v>
      </c>
      <c r="BF273" s="554" t="str">
        <f t="shared" si="403"/>
        <v>3:1:Ahead</v>
      </c>
      <c r="BG273" s="554" t="str">
        <f t="shared" si="411"/>
        <v>Broken Wire (# Broken Subconductors)</v>
      </c>
      <c r="BH273" s="552">
        <f t="shared" si="463"/>
        <v>4</v>
      </c>
      <c r="BI273" s="554" t="str">
        <f t="shared" si="413"/>
        <v>13:1:Ahead</v>
      </c>
      <c r="BJ273" s="554" t="str">
        <f t="shared" si="414"/>
        <v>Broken Wire (# Broken Subconductors)</v>
      </c>
      <c r="BK273" s="552">
        <f t="shared" si="464"/>
        <v>4</v>
      </c>
      <c r="BL273" s="554" t="str">
        <f t="shared" si="416"/>
        <v/>
      </c>
      <c r="BM273" s="554" t="str">
        <f t="shared" si="417"/>
        <v/>
      </c>
      <c r="BN273" s="552" t="str">
        <f t="shared" si="465"/>
        <v/>
      </c>
      <c r="BO273" s="554" t="str">
        <f t="shared" si="419"/>
        <v/>
      </c>
      <c r="BP273" s="554" t="str">
        <f t="shared" si="420"/>
        <v/>
      </c>
      <c r="BQ273" s="552" t="str">
        <f t="shared" si="466"/>
        <v/>
      </c>
      <c r="BR273" s="554"/>
      <c r="BS273" s="554"/>
      <c r="BT273" s="554"/>
      <c r="BU273" s="554"/>
      <c r="BV273" s="554"/>
      <c r="BW273" s="554"/>
      <c r="BX273" s="554"/>
      <c r="BY273" s="554"/>
      <c r="BZ273" s="554"/>
      <c r="CA273" s="554"/>
      <c r="CB273" s="554"/>
      <c r="CC273" s="554"/>
      <c r="CD273" s="554"/>
      <c r="CE273" s="554"/>
      <c r="CF273" s="554"/>
      <c r="CG273" s="554"/>
      <c r="CH273" s="554"/>
      <c r="CI273" s="554"/>
      <c r="CJ273" s="554"/>
      <c r="CK273" s="554"/>
      <c r="CL273" s="554"/>
      <c r="CM273" s="554"/>
      <c r="CN273" s="554"/>
      <c r="CO273" s="554"/>
      <c r="CP273" s="554"/>
      <c r="CQ273" s="554"/>
      <c r="CR273" s="554"/>
      <c r="CS273" s="554"/>
      <c r="CT273" s="554"/>
      <c r="CU273" s="554"/>
      <c r="CV273" s="554"/>
      <c r="CW273" s="554"/>
      <c r="CX273" s="554"/>
      <c r="CY273" s="554"/>
      <c r="CZ273" s="554"/>
      <c r="DA273" s="554"/>
      <c r="DB273" s="554"/>
      <c r="DC273" s="554"/>
      <c r="DD273" s="554"/>
      <c r="DE273" s="534"/>
      <c r="DF273" s="534"/>
      <c r="DG273" s="534"/>
    </row>
    <row r="274" spans="1:111" ht="15" x14ac:dyDescent="0.25">
      <c r="A274" s="549">
        <f>IFERROR(IF(INDEX('Weather Cases'!$E$10:$E$94,MATCH('Load Criteria'!X274,'Weather Cases'!$H$10:$H$94,0),1)=1,1,"-"),"-")</f>
        <v>1</v>
      </c>
      <c r="B274" s="555" t="s">
        <v>558</v>
      </c>
      <c r="C274" s="555" t="s">
        <v>573</v>
      </c>
      <c r="D274" s="555" t="s">
        <v>579</v>
      </c>
      <c r="E274" s="555">
        <v>2</v>
      </c>
      <c r="F274" s="556" t="s">
        <v>22</v>
      </c>
      <c r="G274" s="556" t="str">
        <f>IFERROR(IF(MID('Load Criteria'!X274,FIND("_",'Load Criteria'!X274,1)+1,1)=LEFT(Control!$D$23,1),"YES","-"),"-")</f>
        <v>-</v>
      </c>
      <c r="H274" s="549" t="s">
        <v>22</v>
      </c>
      <c r="I274" s="557" t="s">
        <v>327</v>
      </c>
      <c r="J274" s="550">
        <f>Control!$D$25</f>
        <v>1</v>
      </c>
      <c r="K274" s="508" t="s">
        <v>571</v>
      </c>
      <c r="L274" s="508" t="s">
        <v>24</v>
      </c>
      <c r="M274" s="550">
        <v>1</v>
      </c>
      <c r="N274" s="550">
        <v>3</v>
      </c>
      <c r="O274" s="550"/>
      <c r="P274" s="392"/>
      <c r="Q274" s="392"/>
      <c r="R274" s="392"/>
      <c r="S274" s="392"/>
      <c r="T274" s="392"/>
      <c r="U274" s="255" t="s">
        <v>574</v>
      </c>
      <c r="V274" s="551"/>
      <c r="W274" s="542" t="str">
        <f t="shared" si="398"/>
        <v>RW0001_8+TA13 NA-</v>
      </c>
      <c r="X274" s="552" t="str">
        <f>I274&amp;TEXT(J274,"0000")&amp;"_"&amp;LEFT(Control!$D$22,LEN(Control!$D$22)-2)</f>
        <v>RW0001_8</v>
      </c>
      <c r="Y274" s="552" t="s">
        <v>433</v>
      </c>
      <c r="Z274" s="552" t="str">
        <f t="shared" si="459"/>
        <v>NA-</v>
      </c>
      <c r="AA274" s="552"/>
      <c r="AB274" s="552">
        <v>1</v>
      </c>
      <c r="AC274" s="552">
        <v>1</v>
      </c>
      <c r="AD274" s="552">
        <v>1</v>
      </c>
      <c r="AE274" s="552">
        <v>1</v>
      </c>
      <c r="AF274" s="552">
        <v>1</v>
      </c>
      <c r="AG274" s="542" t="s">
        <v>561</v>
      </c>
      <c r="AH274" s="552">
        <v>0</v>
      </c>
      <c r="AI274" s="552">
        <v>0</v>
      </c>
      <c r="AJ274" s="552">
        <v>1</v>
      </c>
      <c r="AK274" s="552">
        <v>1</v>
      </c>
      <c r="AL274" s="552">
        <v>1</v>
      </c>
      <c r="AM274" s="552">
        <v>0</v>
      </c>
      <c r="AN274" s="552">
        <v>0</v>
      </c>
      <c r="AO274" s="552">
        <v>1</v>
      </c>
      <c r="AP274" s="552">
        <v>1</v>
      </c>
      <c r="AQ274" s="552">
        <v>1</v>
      </c>
      <c r="AR274" s="552">
        <v>1</v>
      </c>
      <c r="AS274" s="552">
        <v>1</v>
      </c>
      <c r="AT274" s="552">
        <v>1</v>
      </c>
      <c r="AU274" s="552">
        <v>1</v>
      </c>
      <c r="AV274" s="553" t="str">
        <f>IF(H274="YES",IF($AV$2="Y","'"&amp;INDEX('Structure Groups'!$C$12:$C$14,MATCH($B$5,'Structure Groups'!$B$12:$B$14,0),1)&amp;"'","'"&amp;INDEX('Structure Groups'!$C$16:$C$18,MATCH($B$5,'Structure Groups'!$B$16:$B$18,0),1)&amp;"'"),IF($AV$2="Y","'All'","'Stop'"))</f>
        <v>'Stop'</v>
      </c>
      <c r="AW274" s="552" t="s">
        <v>562</v>
      </c>
      <c r="AX274" s="552"/>
      <c r="AY274" s="552" t="str">
        <f t="shared" si="460"/>
        <v>Yes</v>
      </c>
      <c r="AZ274" s="554" t="str">
        <f t="shared" si="405"/>
        <v>1:1:Ahead</v>
      </c>
      <c r="BA274" s="554" t="str">
        <f t="shared" si="406"/>
        <v>Broken Wire (# Broken Subconductors)</v>
      </c>
      <c r="BB274" s="552">
        <f t="shared" si="461"/>
        <v>4</v>
      </c>
      <c r="BC274" s="554" t="str">
        <f t="shared" si="408"/>
        <v>11:1:Ahead</v>
      </c>
      <c r="BD274" s="554" t="str">
        <f t="shared" si="409"/>
        <v>Broken Wire (# Broken Subconductors)</v>
      </c>
      <c r="BE274" s="552">
        <f t="shared" si="462"/>
        <v>4</v>
      </c>
      <c r="BF274" s="554" t="str">
        <f t="shared" si="403"/>
        <v>3:1:Ahead</v>
      </c>
      <c r="BG274" s="554" t="str">
        <f t="shared" si="411"/>
        <v>Broken Wire (# Broken Subconductors)</v>
      </c>
      <c r="BH274" s="552">
        <f t="shared" si="463"/>
        <v>4</v>
      </c>
      <c r="BI274" s="554" t="str">
        <f t="shared" si="413"/>
        <v>13:1:Ahead</v>
      </c>
      <c r="BJ274" s="554" t="str">
        <f t="shared" si="414"/>
        <v>Broken Wire (# Broken Subconductors)</v>
      </c>
      <c r="BK274" s="552">
        <f t="shared" si="464"/>
        <v>4</v>
      </c>
      <c r="BL274" s="554" t="str">
        <f t="shared" si="416"/>
        <v/>
      </c>
      <c r="BM274" s="554" t="str">
        <f t="shared" si="417"/>
        <v/>
      </c>
      <c r="BN274" s="552" t="str">
        <f t="shared" si="465"/>
        <v/>
      </c>
      <c r="BO274" s="554" t="str">
        <f t="shared" si="419"/>
        <v/>
      </c>
      <c r="BP274" s="554" t="str">
        <f t="shared" si="420"/>
        <v/>
      </c>
      <c r="BQ274" s="552" t="str">
        <f t="shared" si="466"/>
        <v/>
      </c>
      <c r="BR274" s="554"/>
      <c r="BS274" s="554"/>
      <c r="BT274" s="554"/>
      <c r="BU274" s="554"/>
      <c r="BV274" s="554"/>
      <c r="BW274" s="554"/>
      <c r="BX274" s="554"/>
      <c r="BY274" s="554"/>
      <c r="BZ274" s="554"/>
      <c r="CA274" s="554"/>
      <c r="CB274" s="554"/>
      <c r="CC274" s="554"/>
      <c r="CD274" s="554"/>
      <c r="CE274" s="554"/>
      <c r="CF274" s="554"/>
      <c r="CG274" s="554"/>
      <c r="CH274" s="554"/>
      <c r="CI274" s="554"/>
      <c r="CJ274" s="554"/>
      <c r="CK274" s="554"/>
      <c r="CL274" s="554"/>
      <c r="CM274" s="554"/>
      <c r="CN274" s="554"/>
      <c r="CO274" s="554"/>
      <c r="CP274" s="554"/>
      <c r="CQ274" s="554"/>
      <c r="CR274" s="554"/>
      <c r="CS274" s="554"/>
      <c r="CT274" s="554"/>
      <c r="CU274" s="554"/>
      <c r="CV274" s="554"/>
      <c r="CW274" s="554"/>
      <c r="CX274" s="554"/>
      <c r="CY274" s="554"/>
      <c r="CZ274" s="554"/>
      <c r="DA274" s="554"/>
      <c r="DB274" s="554"/>
      <c r="DC274" s="554"/>
      <c r="DD274" s="554"/>
      <c r="DE274" s="534"/>
      <c r="DF274" s="534"/>
      <c r="DG274" s="534"/>
    </row>
    <row r="275" spans="1:111" ht="15" x14ac:dyDescent="0.25">
      <c r="A275" s="549">
        <f>IFERROR(IF(INDEX('Weather Cases'!$E$10:$E$94,MATCH('Load Criteria'!X275,'Weather Cases'!$H$10:$H$94,0),1)=1,1,"-"),"-")</f>
        <v>1</v>
      </c>
      <c r="B275" s="555" t="s">
        <v>558</v>
      </c>
      <c r="C275" s="555" t="s">
        <v>573</v>
      </c>
      <c r="D275" s="555" t="s">
        <v>579</v>
      </c>
      <c r="E275" s="555">
        <v>2</v>
      </c>
      <c r="F275" s="555" t="s">
        <v>580</v>
      </c>
      <c r="G275" s="556" t="str">
        <f>IFERROR(IF(MID('Load Criteria'!X275,FIND("_",'Load Criteria'!X275,1)+1,1)=LEFT(Control!$D$23,1),"YES","-"),"-")</f>
        <v>-</v>
      </c>
      <c r="H275" s="549" t="s">
        <v>22</v>
      </c>
      <c r="I275" s="557" t="s">
        <v>327</v>
      </c>
      <c r="J275" s="550">
        <f>Control!$D$25</f>
        <v>1</v>
      </c>
      <c r="K275" s="508" t="s">
        <v>571</v>
      </c>
      <c r="L275" s="508" t="s">
        <v>24</v>
      </c>
      <c r="M275" s="550">
        <v>3</v>
      </c>
      <c r="N275" s="550">
        <v>7</v>
      </c>
      <c r="O275" s="550"/>
      <c r="P275" s="392"/>
      <c r="Q275" s="392"/>
      <c r="R275" s="392"/>
      <c r="S275" s="392"/>
      <c r="T275" s="392"/>
      <c r="U275" s="255" t="s">
        <v>574</v>
      </c>
      <c r="V275" s="551"/>
      <c r="W275" s="542" t="str">
        <f t="shared" si="398"/>
        <v>RW0001_8+TA37 NA-</v>
      </c>
      <c r="X275" s="552" t="str">
        <f>I275&amp;TEXT(J275,"0000")&amp;"_"&amp;LEFT(Control!$D$22,LEN(Control!$D$22)-2)</f>
        <v>RW0001_8</v>
      </c>
      <c r="Y275" s="552" t="s">
        <v>433</v>
      </c>
      <c r="Z275" s="552" t="str">
        <f t="shared" si="459"/>
        <v>NA-</v>
      </c>
      <c r="AA275" s="552"/>
      <c r="AB275" s="552">
        <v>1</v>
      </c>
      <c r="AC275" s="552">
        <v>1</v>
      </c>
      <c r="AD275" s="552">
        <v>1</v>
      </c>
      <c r="AE275" s="552">
        <v>1</v>
      </c>
      <c r="AF275" s="552">
        <v>1</v>
      </c>
      <c r="AG275" s="542" t="s">
        <v>561</v>
      </c>
      <c r="AH275" s="552">
        <v>0</v>
      </c>
      <c r="AI275" s="552">
        <v>0</v>
      </c>
      <c r="AJ275" s="552">
        <v>1</v>
      </c>
      <c r="AK275" s="552">
        <v>1</v>
      </c>
      <c r="AL275" s="552">
        <v>1</v>
      </c>
      <c r="AM275" s="552">
        <v>0</v>
      </c>
      <c r="AN275" s="552">
        <v>0</v>
      </c>
      <c r="AO275" s="552">
        <v>1</v>
      </c>
      <c r="AP275" s="552">
        <v>1</v>
      </c>
      <c r="AQ275" s="552">
        <v>1</v>
      </c>
      <c r="AR275" s="552">
        <v>1</v>
      </c>
      <c r="AS275" s="552">
        <v>1</v>
      </c>
      <c r="AT275" s="552">
        <v>1</v>
      </c>
      <c r="AU275" s="552">
        <v>1</v>
      </c>
      <c r="AV275" s="553" t="str">
        <f>IF(H275="YES",IF($AV$2="Y","'"&amp;INDEX('Structure Groups'!$C$12:$C$14,MATCH($B$5,'Structure Groups'!$B$12:$B$14,0),1)&amp;"'","'"&amp;INDEX('Structure Groups'!$C$16:$C$18,MATCH($B$5,'Structure Groups'!$B$16:$B$18,0),1)&amp;"'"),IF($AV$2="Y","'All'","'Stop'"))</f>
        <v>'Stop'</v>
      </c>
      <c r="AW275" s="552" t="s">
        <v>562</v>
      </c>
      <c r="AX275" s="552"/>
      <c r="AY275" s="552" t="str">
        <f t="shared" si="460"/>
        <v>Yes</v>
      </c>
      <c r="AZ275" s="554" t="str">
        <f t="shared" si="405"/>
        <v>3:1:Ahead</v>
      </c>
      <c r="BA275" s="554" t="str">
        <f t="shared" si="406"/>
        <v>Broken Wire (# Broken Subconductors)</v>
      </c>
      <c r="BB275" s="552">
        <f t="shared" si="461"/>
        <v>4</v>
      </c>
      <c r="BC275" s="554" t="str">
        <f t="shared" si="408"/>
        <v>13:1:Ahead</v>
      </c>
      <c r="BD275" s="554" t="str">
        <f t="shared" si="409"/>
        <v>Broken Wire (# Broken Subconductors)</v>
      </c>
      <c r="BE275" s="552">
        <f t="shared" si="462"/>
        <v>4</v>
      </c>
      <c r="BF275" s="554" t="str">
        <f t="shared" si="403"/>
        <v>7:1:Ahead</v>
      </c>
      <c r="BG275" s="554" t="str">
        <f t="shared" si="411"/>
        <v>Broken Wire (# Broken Subconductors)</v>
      </c>
      <c r="BH275" s="552">
        <f t="shared" si="463"/>
        <v>4</v>
      </c>
      <c r="BI275" s="554" t="str">
        <f t="shared" si="413"/>
        <v>17:1:Ahead</v>
      </c>
      <c r="BJ275" s="554" t="str">
        <f t="shared" si="414"/>
        <v>Broken Wire (# Broken Subconductors)</v>
      </c>
      <c r="BK275" s="552">
        <f t="shared" si="464"/>
        <v>4</v>
      </c>
      <c r="BL275" s="554" t="str">
        <f t="shared" si="416"/>
        <v/>
      </c>
      <c r="BM275" s="554" t="str">
        <f t="shared" si="417"/>
        <v/>
      </c>
      <c r="BN275" s="552" t="str">
        <f t="shared" si="465"/>
        <v/>
      </c>
      <c r="BO275" s="554" t="str">
        <f t="shared" si="419"/>
        <v/>
      </c>
      <c r="BP275" s="554" t="str">
        <f t="shared" si="420"/>
        <v/>
      </c>
      <c r="BQ275" s="552" t="str">
        <f t="shared" si="466"/>
        <v/>
      </c>
      <c r="BR275" s="554"/>
      <c r="BS275" s="554"/>
      <c r="BT275" s="554"/>
      <c r="BU275" s="554"/>
      <c r="BV275" s="554"/>
      <c r="BW275" s="554"/>
      <c r="BX275" s="554"/>
      <c r="BY275" s="554"/>
      <c r="BZ275" s="554"/>
      <c r="CA275" s="554"/>
      <c r="CB275" s="554"/>
      <c r="CC275" s="554"/>
      <c r="CD275" s="554"/>
      <c r="CE275" s="554"/>
      <c r="CF275" s="554"/>
      <c r="CG275" s="554"/>
      <c r="CH275" s="554"/>
      <c r="CI275" s="554"/>
      <c r="CJ275" s="554"/>
      <c r="CK275" s="554"/>
      <c r="CL275" s="554"/>
      <c r="CM275" s="554"/>
      <c r="CN275" s="554"/>
      <c r="CO275" s="554"/>
      <c r="CP275" s="554"/>
      <c r="CQ275" s="554"/>
      <c r="CR275" s="554"/>
      <c r="CS275" s="554"/>
      <c r="CT275" s="554"/>
      <c r="CU275" s="554"/>
      <c r="CV275" s="554"/>
      <c r="CW275" s="554"/>
      <c r="CX275" s="554"/>
      <c r="CY275" s="554"/>
      <c r="CZ275" s="554"/>
      <c r="DA275" s="554"/>
      <c r="DB275" s="554"/>
      <c r="DC275" s="554"/>
      <c r="DD275" s="554"/>
      <c r="DE275" s="534"/>
      <c r="DF275" s="534"/>
      <c r="DG275" s="534"/>
    </row>
    <row r="276" spans="1:111" ht="15" x14ac:dyDescent="0.25">
      <c r="A276" s="549">
        <f>IFERROR(IF(INDEX('Weather Cases'!$E$10:$E$94,MATCH('Load Criteria'!X276,'Weather Cases'!$H$10:$H$94,0),1)=1,1,"-"),"-")</f>
        <v>1</v>
      </c>
      <c r="B276" s="555" t="s">
        <v>558</v>
      </c>
      <c r="C276" s="555" t="s">
        <v>573</v>
      </c>
      <c r="D276" s="555" t="s">
        <v>579</v>
      </c>
      <c r="E276" s="555">
        <v>2</v>
      </c>
      <c r="F276" s="556" t="s">
        <v>22</v>
      </c>
      <c r="G276" s="556" t="str">
        <f>IFERROR(IF(MID('Load Criteria'!X276,FIND("_",'Load Criteria'!X276,1)+1,1)=LEFT(Control!$D$23,1),"YES","-"),"-")</f>
        <v>-</v>
      </c>
      <c r="H276" s="549" t="s">
        <v>22</v>
      </c>
      <c r="I276" s="557" t="s">
        <v>327</v>
      </c>
      <c r="J276" s="550">
        <f>Control!$D$25</f>
        <v>1</v>
      </c>
      <c r="K276" s="508" t="s">
        <v>571</v>
      </c>
      <c r="L276" s="508" t="s">
        <v>24</v>
      </c>
      <c r="M276" s="550">
        <v>4</v>
      </c>
      <c r="N276" s="550">
        <v>5</v>
      </c>
      <c r="O276" s="550"/>
      <c r="P276" s="392"/>
      <c r="Q276" s="392"/>
      <c r="R276" s="392"/>
      <c r="S276" s="392"/>
      <c r="T276" s="392"/>
      <c r="U276" s="255" t="s">
        <v>574</v>
      </c>
      <c r="V276" s="551"/>
      <c r="W276" s="542" t="str">
        <f t="shared" si="398"/>
        <v>RW0001_8+TA45 NA-</v>
      </c>
      <c r="X276" s="552" t="str">
        <f>I276&amp;TEXT(J276,"0000")&amp;"_"&amp;LEFT(Control!$D$22,LEN(Control!$D$22)-2)</f>
        <v>RW0001_8</v>
      </c>
      <c r="Y276" s="552" t="s">
        <v>433</v>
      </c>
      <c r="Z276" s="552" t="str">
        <f t="shared" si="459"/>
        <v>NA-</v>
      </c>
      <c r="AA276" s="552"/>
      <c r="AB276" s="552">
        <v>1</v>
      </c>
      <c r="AC276" s="552">
        <v>1</v>
      </c>
      <c r="AD276" s="552">
        <v>1</v>
      </c>
      <c r="AE276" s="552">
        <v>1</v>
      </c>
      <c r="AF276" s="552">
        <v>1</v>
      </c>
      <c r="AG276" s="542" t="s">
        <v>561</v>
      </c>
      <c r="AH276" s="552">
        <v>0</v>
      </c>
      <c r="AI276" s="552">
        <v>0</v>
      </c>
      <c r="AJ276" s="552">
        <v>1</v>
      </c>
      <c r="AK276" s="552">
        <v>1</v>
      </c>
      <c r="AL276" s="552">
        <v>1</v>
      </c>
      <c r="AM276" s="552">
        <v>0</v>
      </c>
      <c r="AN276" s="552">
        <v>0</v>
      </c>
      <c r="AO276" s="552">
        <v>1</v>
      </c>
      <c r="AP276" s="552">
        <v>1</v>
      </c>
      <c r="AQ276" s="552">
        <v>1</v>
      </c>
      <c r="AR276" s="552">
        <v>1</v>
      </c>
      <c r="AS276" s="552">
        <v>1</v>
      </c>
      <c r="AT276" s="552">
        <v>1</v>
      </c>
      <c r="AU276" s="552">
        <v>1</v>
      </c>
      <c r="AV276" s="553" t="str">
        <f>IF(H276="YES",IF($AV$2="Y","'"&amp;INDEX('Structure Groups'!$C$12:$C$14,MATCH($B$5,'Structure Groups'!$B$12:$B$14,0),1)&amp;"'","'"&amp;INDEX('Structure Groups'!$C$16:$C$18,MATCH($B$5,'Structure Groups'!$B$16:$B$18,0),1)&amp;"'"),IF($AV$2="Y","'All'","'Stop'"))</f>
        <v>'Stop'</v>
      </c>
      <c r="AW276" s="552" t="s">
        <v>562</v>
      </c>
      <c r="AX276" s="552"/>
      <c r="AY276" s="552" t="str">
        <f t="shared" si="460"/>
        <v>Yes</v>
      </c>
      <c r="AZ276" s="554" t="str">
        <f t="shared" si="405"/>
        <v>4:1:Ahead</v>
      </c>
      <c r="BA276" s="554" t="str">
        <f t="shared" si="406"/>
        <v>Broken Wire (# Broken Subconductors)</v>
      </c>
      <c r="BB276" s="552">
        <f t="shared" si="461"/>
        <v>4</v>
      </c>
      <c r="BC276" s="554" t="str">
        <f t="shared" si="408"/>
        <v>14:1:Ahead</v>
      </c>
      <c r="BD276" s="554" t="str">
        <f t="shared" si="409"/>
        <v>Broken Wire (# Broken Subconductors)</v>
      </c>
      <c r="BE276" s="552">
        <f t="shared" si="462"/>
        <v>4</v>
      </c>
      <c r="BF276" s="554" t="str">
        <f t="shared" si="403"/>
        <v>5:1:Ahead</v>
      </c>
      <c r="BG276" s="554" t="str">
        <f t="shared" si="411"/>
        <v>Broken Wire (# Broken Subconductors)</v>
      </c>
      <c r="BH276" s="552">
        <f t="shared" si="463"/>
        <v>4</v>
      </c>
      <c r="BI276" s="554" t="str">
        <f t="shared" si="413"/>
        <v>15:1:Ahead</v>
      </c>
      <c r="BJ276" s="554" t="str">
        <f t="shared" si="414"/>
        <v>Broken Wire (# Broken Subconductors)</v>
      </c>
      <c r="BK276" s="552">
        <f t="shared" si="464"/>
        <v>4</v>
      </c>
      <c r="BL276" s="554" t="str">
        <f t="shared" si="416"/>
        <v/>
      </c>
      <c r="BM276" s="554" t="str">
        <f t="shared" si="417"/>
        <v/>
      </c>
      <c r="BN276" s="552" t="str">
        <f t="shared" si="465"/>
        <v/>
      </c>
      <c r="BO276" s="554" t="str">
        <f t="shared" si="419"/>
        <v/>
      </c>
      <c r="BP276" s="554" t="str">
        <f t="shared" si="420"/>
        <v/>
      </c>
      <c r="BQ276" s="552" t="str">
        <f t="shared" si="466"/>
        <v/>
      </c>
      <c r="BR276" s="554"/>
      <c r="BS276" s="554"/>
      <c r="BT276" s="554"/>
      <c r="BU276" s="554"/>
      <c r="BV276" s="554"/>
      <c r="BW276" s="554"/>
      <c r="BX276" s="554"/>
      <c r="BY276" s="554"/>
      <c r="BZ276" s="554"/>
      <c r="CA276" s="554"/>
      <c r="CB276" s="554"/>
      <c r="CC276" s="554"/>
      <c r="CD276" s="554"/>
      <c r="CE276" s="554"/>
      <c r="CF276" s="554"/>
      <c r="CG276" s="554"/>
      <c r="CH276" s="554"/>
      <c r="CI276" s="554"/>
      <c r="CJ276" s="554"/>
      <c r="CK276" s="554"/>
      <c r="CL276" s="554"/>
      <c r="CM276" s="554"/>
      <c r="CN276" s="554"/>
      <c r="CO276" s="554"/>
      <c r="CP276" s="554"/>
      <c r="CQ276" s="554"/>
      <c r="CR276" s="554"/>
      <c r="CS276" s="554"/>
      <c r="CT276" s="554"/>
      <c r="CU276" s="554"/>
      <c r="CV276" s="554"/>
      <c r="CW276" s="554"/>
      <c r="CX276" s="554"/>
      <c r="CY276" s="554"/>
      <c r="CZ276" s="554"/>
      <c r="DA276" s="554"/>
      <c r="DB276" s="554"/>
      <c r="DC276" s="554"/>
      <c r="DD276" s="554"/>
      <c r="DE276" s="534"/>
      <c r="DF276" s="534"/>
      <c r="DG276" s="534"/>
    </row>
    <row r="277" spans="1:111" ht="15" x14ac:dyDescent="0.25">
      <c r="A277" s="549">
        <f>IFERROR(IF(INDEX('Weather Cases'!$E$10:$E$94,MATCH('Load Criteria'!X277,'Weather Cases'!$H$10:$H$94,0),1)=1,1,"-"),"-")</f>
        <v>1</v>
      </c>
      <c r="B277" s="555" t="s">
        <v>558</v>
      </c>
      <c r="C277" s="555" t="s">
        <v>573</v>
      </c>
      <c r="D277" s="555" t="s">
        <v>579</v>
      </c>
      <c r="E277" s="555">
        <v>2</v>
      </c>
      <c r="F277" s="556" t="s">
        <v>22</v>
      </c>
      <c r="G277" s="556" t="str">
        <f>IFERROR(IF(MID('Load Criteria'!X277,FIND("_",'Load Criteria'!X277,1)+1,1)=LEFT(Control!$D$23,1),"YES","-"),"-")</f>
        <v>-</v>
      </c>
      <c r="H277" s="549" t="s">
        <v>22</v>
      </c>
      <c r="I277" s="557" t="s">
        <v>327</v>
      </c>
      <c r="J277" s="550">
        <f>Control!$D$25</f>
        <v>1</v>
      </c>
      <c r="K277" s="508" t="s">
        <v>571</v>
      </c>
      <c r="L277" s="508" t="s">
        <v>24</v>
      </c>
      <c r="M277" s="550">
        <v>4</v>
      </c>
      <c r="N277" s="550">
        <v>6</v>
      </c>
      <c r="O277" s="550"/>
      <c r="P277" s="392"/>
      <c r="Q277" s="392"/>
      <c r="R277" s="392"/>
      <c r="S277" s="392"/>
      <c r="T277" s="392"/>
      <c r="U277" s="255" t="s">
        <v>574</v>
      </c>
      <c r="V277" s="551"/>
      <c r="W277" s="542" t="str">
        <f t="shared" si="398"/>
        <v>RW0001_8+TA46 NA-</v>
      </c>
      <c r="X277" s="552" t="str">
        <f>I277&amp;TEXT(J277,"0000")&amp;"_"&amp;LEFT(Control!$D$22,LEN(Control!$D$22)-2)</f>
        <v>RW0001_8</v>
      </c>
      <c r="Y277" s="552" t="s">
        <v>433</v>
      </c>
      <c r="Z277" s="552" t="str">
        <f t="shared" si="459"/>
        <v>NA-</v>
      </c>
      <c r="AA277" s="552"/>
      <c r="AB277" s="552">
        <v>1</v>
      </c>
      <c r="AC277" s="552">
        <v>1</v>
      </c>
      <c r="AD277" s="552">
        <v>1</v>
      </c>
      <c r="AE277" s="552">
        <v>1</v>
      </c>
      <c r="AF277" s="552">
        <v>1</v>
      </c>
      <c r="AG277" s="542" t="s">
        <v>561</v>
      </c>
      <c r="AH277" s="552">
        <v>0</v>
      </c>
      <c r="AI277" s="552">
        <v>0</v>
      </c>
      <c r="AJ277" s="552">
        <v>1</v>
      </c>
      <c r="AK277" s="552">
        <v>1</v>
      </c>
      <c r="AL277" s="552">
        <v>1</v>
      </c>
      <c r="AM277" s="552">
        <v>0</v>
      </c>
      <c r="AN277" s="552">
        <v>0</v>
      </c>
      <c r="AO277" s="552">
        <v>1</v>
      </c>
      <c r="AP277" s="552">
        <v>1</v>
      </c>
      <c r="AQ277" s="552">
        <v>1</v>
      </c>
      <c r="AR277" s="552">
        <v>1</v>
      </c>
      <c r="AS277" s="552">
        <v>1</v>
      </c>
      <c r="AT277" s="552">
        <v>1</v>
      </c>
      <c r="AU277" s="552">
        <v>1</v>
      </c>
      <c r="AV277" s="553" t="str">
        <f>IF(H277="YES",IF($AV$2="Y","'"&amp;INDEX('Structure Groups'!$C$12:$C$14,MATCH($B$5,'Structure Groups'!$B$12:$B$14,0),1)&amp;"'","'"&amp;INDEX('Structure Groups'!$C$16:$C$18,MATCH($B$5,'Structure Groups'!$B$16:$B$18,0),1)&amp;"'"),IF($AV$2="Y","'All'","'Stop'"))</f>
        <v>'Stop'</v>
      </c>
      <c r="AW277" s="552" t="s">
        <v>562</v>
      </c>
      <c r="AX277" s="552"/>
      <c r="AY277" s="552" t="str">
        <f t="shared" si="460"/>
        <v>Yes</v>
      </c>
      <c r="AZ277" s="554" t="str">
        <f t="shared" si="405"/>
        <v>4:1:Ahead</v>
      </c>
      <c r="BA277" s="554" t="str">
        <f t="shared" si="406"/>
        <v>Broken Wire (# Broken Subconductors)</v>
      </c>
      <c r="BB277" s="552">
        <f t="shared" si="461"/>
        <v>4</v>
      </c>
      <c r="BC277" s="554" t="str">
        <f t="shared" si="408"/>
        <v>14:1:Ahead</v>
      </c>
      <c r="BD277" s="554" t="str">
        <f t="shared" si="409"/>
        <v>Broken Wire (# Broken Subconductors)</v>
      </c>
      <c r="BE277" s="552">
        <f t="shared" si="462"/>
        <v>4</v>
      </c>
      <c r="BF277" s="554" t="str">
        <f t="shared" si="403"/>
        <v>6:1:Ahead</v>
      </c>
      <c r="BG277" s="554" t="str">
        <f t="shared" si="411"/>
        <v>Broken Wire (# Broken Subconductors)</v>
      </c>
      <c r="BH277" s="552">
        <f t="shared" si="463"/>
        <v>4</v>
      </c>
      <c r="BI277" s="554" t="str">
        <f t="shared" si="413"/>
        <v>16:1:Ahead</v>
      </c>
      <c r="BJ277" s="554" t="str">
        <f t="shared" si="414"/>
        <v>Broken Wire (# Broken Subconductors)</v>
      </c>
      <c r="BK277" s="552">
        <f t="shared" si="464"/>
        <v>4</v>
      </c>
      <c r="BL277" s="554" t="str">
        <f t="shared" si="416"/>
        <v/>
      </c>
      <c r="BM277" s="554" t="str">
        <f t="shared" si="417"/>
        <v/>
      </c>
      <c r="BN277" s="552" t="str">
        <f t="shared" si="465"/>
        <v/>
      </c>
      <c r="BO277" s="554" t="str">
        <f t="shared" si="419"/>
        <v/>
      </c>
      <c r="BP277" s="554" t="str">
        <f t="shared" si="420"/>
        <v/>
      </c>
      <c r="BQ277" s="552" t="str">
        <f t="shared" si="466"/>
        <v/>
      </c>
      <c r="BR277" s="554"/>
      <c r="BS277" s="554"/>
      <c r="BT277" s="554"/>
      <c r="BU277" s="554"/>
      <c r="BV277" s="554"/>
      <c r="BW277" s="554"/>
      <c r="BX277" s="554"/>
      <c r="BY277" s="554"/>
      <c r="BZ277" s="554"/>
      <c r="CA277" s="554"/>
      <c r="CB277" s="554"/>
      <c r="CC277" s="554"/>
      <c r="CD277" s="554"/>
      <c r="CE277" s="554"/>
      <c r="CF277" s="554"/>
      <c r="CG277" s="554"/>
      <c r="CH277" s="554"/>
      <c r="CI277" s="554"/>
      <c r="CJ277" s="554"/>
      <c r="CK277" s="554"/>
      <c r="CL277" s="554"/>
      <c r="CM277" s="554"/>
      <c r="CN277" s="554"/>
      <c r="CO277" s="554"/>
      <c r="CP277" s="554"/>
      <c r="CQ277" s="554"/>
      <c r="CR277" s="554"/>
      <c r="CS277" s="554"/>
      <c r="CT277" s="554"/>
      <c r="CU277" s="554"/>
      <c r="CV277" s="554"/>
      <c r="CW277" s="554"/>
      <c r="CX277" s="554"/>
      <c r="CY277" s="554"/>
      <c r="CZ277" s="554"/>
      <c r="DA277" s="554"/>
      <c r="DB277" s="554"/>
      <c r="DC277" s="554"/>
      <c r="DD277" s="554"/>
      <c r="DE277" s="534"/>
      <c r="DF277" s="534"/>
      <c r="DG277" s="534"/>
    </row>
    <row r="278" spans="1:111" ht="15" x14ac:dyDescent="0.25">
      <c r="A278" s="549">
        <f>IFERROR(IF(INDEX('Weather Cases'!$E$10:$E$94,MATCH('Load Criteria'!X278,'Weather Cases'!$H$10:$H$94,0),1)=1,1,"-"),"-")</f>
        <v>1</v>
      </c>
      <c r="B278" s="555" t="s">
        <v>558</v>
      </c>
      <c r="C278" s="555" t="s">
        <v>573</v>
      </c>
      <c r="D278" s="555" t="s">
        <v>579</v>
      </c>
      <c r="E278" s="555">
        <v>2</v>
      </c>
      <c r="F278" s="556" t="s">
        <v>22</v>
      </c>
      <c r="G278" s="556" t="str">
        <f>IFERROR(IF(MID('Load Criteria'!X278,FIND("_",'Load Criteria'!X278,1)+1,1)=LEFT(Control!$D$23,1),"YES","-"),"-")</f>
        <v>-</v>
      </c>
      <c r="H278" s="549" t="s">
        <v>22</v>
      </c>
      <c r="I278" s="557" t="s">
        <v>327</v>
      </c>
      <c r="J278" s="550">
        <f>Control!$D$25</f>
        <v>1</v>
      </c>
      <c r="K278" s="508" t="s">
        <v>571</v>
      </c>
      <c r="L278" s="508" t="s">
        <v>24</v>
      </c>
      <c r="M278" s="550">
        <v>5</v>
      </c>
      <c r="N278" s="550">
        <v>6</v>
      </c>
      <c r="O278" s="550"/>
      <c r="P278" s="392"/>
      <c r="Q278" s="392"/>
      <c r="R278" s="392"/>
      <c r="S278" s="392"/>
      <c r="T278" s="392"/>
      <c r="U278" s="255" t="s">
        <v>574</v>
      </c>
      <c r="V278" s="551"/>
      <c r="W278" s="542" t="str">
        <f t="shared" si="398"/>
        <v>RW0001_8+TA56 NA-</v>
      </c>
      <c r="X278" s="552" t="str">
        <f>I278&amp;TEXT(J278,"0000")&amp;"_"&amp;LEFT(Control!$D$22,LEN(Control!$D$22)-2)</f>
        <v>RW0001_8</v>
      </c>
      <c r="Y278" s="552" t="s">
        <v>433</v>
      </c>
      <c r="Z278" s="552" t="str">
        <f t="shared" si="459"/>
        <v>NA-</v>
      </c>
      <c r="AA278" s="552"/>
      <c r="AB278" s="552">
        <v>1</v>
      </c>
      <c r="AC278" s="552">
        <v>1</v>
      </c>
      <c r="AD278" s="552">
        <v>1</v>
      </c>
      <c r="AE278" s="552">
        <v>1</v>
      </c>
      <c r="AF278" s="552">
        <v>1</v>
      </c>
      <c r="AG278" s="542" t="s">
        <v>561</v>
      </c>
      <c r="AH278" s="552">
        <v>0</v>
      </c>
      <c r="AI278" s="552">
        <v>0</v>
      </c>
      <c r="AJ278" s="552">
        <v>1</v>
      </c>
      <c r="AK278" s="552">
        <v>1</v>
      </c>
      <c r="AL278" s="552">
        <v>1</v>
      </c>
      <c r="AM278" s="552">
        <v>0</v>
      </c>
      <c r="AN278" s="552">
        <v>0</v>
      </c>
      <c r="AO278" s="552">
        <v>1</v>
      </c>
      <c r="AP278" s="552">
        <v>1</v>
      </c>
      <c r="AQ278" s="552">
        <v>1</v>
      </c>
      <c r="AR278" s="552">
        <v>1</v>
      </c>
      <c r="AS278" s="552">
        <v>1</v>
      </c>
      <c r="AT278" s="552">
        <v>1</v>
      </c>
      <c r="AU278" s="552">
        <v>1</v>
      </c>
      <c r="AV278" s="553" t="str">
        <f>IF(H278="YES",IF($AV$2="Y","'"&amp;INDEX('Structure Groups'!$C$12:$C$14,MATCH($B$5,'Structure Groups'!$B$12:$B$14,0),1)&amp;"'","'"&amp;INDEX('Structure Groups'!$C$16:$C$18,MATCH($B$5,'Structure Groups'!$B$16:$B$18,0),1)&amp;"'"),IF($AV$2="Y","'All'","'Stop'"))</f>
        <v>'Stop'</v>
      </c>
      <c r="AW278" s="552" t="s">
        <v>562</v>
      </c>
      <c r="AX278" s="552"/>
      <c r="AY278" s="552" t="str">
        <f t="shared" si="460"/>
        <v>Yes</v>
      </c>
      <c r="AZ278" s="554" t="str">
        <f t="shared" si="405"/>
        <v>5:1:Ahead</v>
      </c>
      <c r="BA278" s="554" t="str">
        <f t="shared" si="406"/>
        <v>Broken Wire (# Broken Subconductors)</v>
      </c>
      <c r="BB278" s="552">
        <f t="shared" si="461"/>
        <v>4</v>
      </c>
      <c r="BC278" s="554" t="str">
        <f t="shared" si="408"/>
        <v>15:1:Ahead</v>
      </c>
      <c r="BD278" s="554" t="str">
        <f t="shared" si="409"/>
        <v>Broken Wire (# Broken Subconductors)</v>
      </c>
      <c r="BE278" s="552">
        <f t="shared" si="462"/>
        <v>4</v>
      </c>
      <c r="BF278" s="554" t="str">
        <f t="shared" si="403"/>
        <v>6:1:Ahead</v>
      </c>
      <c r="BG278" s="554" t="str">
        <f t="shared" si="411"/>
        <v>Broken Wire (# Broken Subconductors)</v>
      </c>
      <c r="BH278" s="552">
        <f t="shared" si="463"/>
        <v>4</v>
      </c>
      <c r="BI278" s="554" t="str">
        <f t="shared" si="413"/>
        <v>16:1:Ahead</v>
      </c>
      <c r="BJ278" s="554" t="str">
        <f t="shared" si="414"/>
        <v>Broken Wire (# Broken Subconductors)</v>
      </c>
      <c r="BK278" s="552">
        <f t="shared" si="464"/>
        <v>4</v>
      </c>
      <c r="BL278" s="554" t="str">
        <f t="shared" si="416"/>
        <v/>
      </c>
      <c r="BM278" s="554" t="str">
        <f t="shared" si="417"/>
        <v/>
      </c>
      <c r="BN278" s="552" t="str">
        <f t="shared" si="465"/>
        <v/>
      </c>
      <c r="BO278" s="554" t="str">
        <f t="shared" si="419"/>
        <v/>
      </c>
      <c r="BP278" s="554" t="str">
        <f t="shared" si="420"/>
        <v/>
      </c>
      <c r="BQ278" s="552" t="str">
        <f t="shared" si="466"/>
        <v/>
      </c>
      <c r="BR278" s="554"/>
      <c r="BS278" s="554"/>
      <c r="BT278" s="554"/>
      <c r="BU278" s="554"/>
      <c r="BV278" s="554"/>
      <c r="BW278" s="554"/>
      <c r="BX278" s="554"/>
      <c r="BY278" s="554"/>
      <c r="BZ278" s="554"/>
      <c r="CA278" s="554"/>
      <c r="CB278" s="554"/>
      <c r="CC278" s="554"/>
      <c r="CD278" s="554"/>
      <c r="CE278" s="554"/>
      <c r="CF278" s="554"/>
      <c r="CG278" s="554"/>
      <c r="CH278" s="554"/>
      <c r="CI278" s="554"/>
      <c r="CJ278" s="554"/>
      <c r="CK278" s="554"/>
      <c r="CL278" s="554"/>
      <c r="CM278" s="554"/>
      <c r="CN278" s="554"/>
      <c r="CO278" s="554"/>
      <c r="CP278" s="554"/>
      <c r="CQ278" s="554"/>
      <c r="CR278" s="554"/>
      <c r="CS278" s="554"/>
      <c r="CT278" s="554"/>
      <c r="CU278" s="554"/>
      <c r="CV278" s="554"/>
      <c r="CW278" s="554"/>
      <c r="CX278" s="554"/>
      <c r="CY278" s="554"/>
      <c r="CZ278" s="554"/>
      <c r="DA278" s="554"/>
      <c r="DB278" s="554"/>
      <c r="DC278" s="554"/>
      <c r="DD278" s="554"/>
      <c r="DE278" s="534"/>
      <c r="DF278" s="534"/>
      <c r="DG278" s="534"/>
    </row>
    <row r="279" spans="1:111" ht="15" x14ac:dyDescent="0.25">
      <c r="A279" s="549">
        <f>IFERROR(IF(INDEX('Weather Cases'!$E$10:$E$94,MATCH('Load Criteria'!X279,'Weather Cases'!$H$10:$H$94,0),1)=1,1,"-"),"-")</f>
        <v>1</v>
      </c>
      <c r="B279" s="555" t="s">
        <v>558</v>
      </c>
      <c r="C279" s="555" t="s">
        <v>573</v>
      </c>
      <c r="D279" s="555" t="s">
        <v>579</v>
      </c>
      <c r="E279" s="555">
        <v>2</v>
      </c>
      <c r="F279" s="555" t="s">
        <v>581</v>
      </c>
      <c r="G279" s="556" t="str">
        <f>IFERROR(IF(MID('Load Criteria'!X279,FIND("_",'Load Criteria'!X279,1)+1,1)=LEFT(Control!$D$23,1),"YES","-"),"-")</f>
        <v>-</v>
      </c>
      <c r="H279" s="549" t="s">
        <v>22</v>
      </c>
      <c r="I279" s="557" t="s">
        <v>327</v>
      </c>
      <c r="J279" s="550">
        <f>Control!$D$25</f>
        <v>1</v>
      </c>
      <c r="K279" s="508" t="s">
        <v>571</v>
      </c>
      <c r="L279" s="508" t="s">
        <v>24</v>
      </c>
      <c r="M279" s="550">
        <v>6</v>
      </c>
      <c r="N279" s="550">
        <v>8</v>
      </c>
      <c r="O279" s="550"/>
      <c r="P279" s="392"/>
      <c r="Q279" s="392"/>
      <c r="R279" s="392"/>
      <c r="S279" s="392"/>
      <c r="T279" s="392"/>
      <c r="U279" s="255" t="s">
        <v>574</v>
      </c>
      <c r="V279" s="551"/>
      <c r="W279" s="542" t="str">
        <f t="shared" si="398"/>
        <v>RW0001_8+TA68 NA-</v>
      </c>
      <c r="X279" s="552" t="str">
        <f>I279&amp;TEXT(J279,"0000")&amp;"_"&amp;LEFT(Control!$D$22,LEN(Control!$D$22)-2)</f>
        <v>RW0001_8</v>
      </c>
      <c r="Y279" s="552" t="s">
        <v>433</v>
      </c>
      <c r="Z279" s="552" t="str">
        <f t="shared" si="459"/>
        <v>NA-</v>
      </c>
      <c r="AA279" s="552"/>
      <c r="AB279" s="552">
        <v>1</v>
      </c>
      <c r="AC279" s="552">
        <v>1</v>
      </c>
      <c r="AD279" s="552">
        <v>1</v>
      </c>
      <c r="AE279" s="552">
        <v>1</v>
      </c>
      <c r="AF279" s="552">
        <v>1</v>
      </c>
      <c r="AG279" s="542" t="s">
        <v>561</v>
      </c>
      <c r="AH279" s="552">
        <v>0</v>
      </c>
      <c r="AI279" s="552">
        <v>0</v>
      </c>
      <c r="AJ279" s="552">
        <v>1</v>
      </c>
      <c r="AK279" s="552">
        <v>1</v>
      </c>
      <c r="AL279" s="552">
        <v>1</v>
      </c>
      <c r="AM279" s="552">
        <v>0</v>
      </c>
      <c r="AN279" s="552">
        <v>0</v>
      </c>
      <c r="AO279" s="552">
        <v>1</v>
      </c>
      <c r="AP279" s="552">
        <v>1</v>
      </c>
      <c r="AQ279" s="552">
        <v>1</v>
      </c>
      <c r="AR279" s="552">
        <v>1</v>
      </c>
      <c r="AS279" s="552">
        <v>1</v>
      </c>
      <c r="AT279" s="552">
        <v>1</v>
      </c>
      <c r="AU279" s="552">
        <v>1</v>
      </c>
      <c r="AV279" s="553" t="str">
        <f>IF(H279="YES",IF($AV$2="Y","'"&amp;INDEX('Structure Groups'!$C$12:$C$14,MATCH($B$5,'Structure Groups'!$B$12:$B$14,0),1)&amp;"'","'"&amp;INDEX('Structure Groups'!$C$16:$C$18,MATCH($B$5,'Structure Groups'!$B$16:$B$18,0),1)&amp;"'"),IF($AV$2="Y","'All'","'Stop'"))</f>
        <v>'Stop'</v>
      </c>
      <c r="AW279" s="552" t="s">
        <v>562</v>
      </c>
      <c r="AX279" s="552"/>
      <c r="AY279" s="552" t="str">
        <f t="shared" si="460"/>
        <v>Yes</v>
      </c>
      <c r="AZ279" s="554" t="str">
        <f t="shared" si="405"/>
        <v>6:1:Ahead</v>
      </c>
      <c r="BA279" s="554" t="str">
        <f t="shared" si="406"/>
        <v>Broken Wire (# Broken Subconductors)</v>
      </c>
      <c r="BB279" s="552">
        <f t="shared" si="461"/>
        <v>4</v>
      </c>
      <c r="BC279" s="554" t="str">
        <f t="shared" si="408"/>
        <v>16:1:Ahead</v>
      </c>
      <c r="BD279" s="554" t="str">
        <f t="shared" si="409"/>
        <v>Broken Wire (# Broken Subconductors)</v>
      </c>
      <c r="BE279" s="552">
        <f t="shared" si="462"/>
        <v>4</v>
      </c>
      <c r="BF279" s="554" t="str">
        <f t="shared" si="403"/>
        <v>8:1:Ahead</v>
      </c>
      <c r="BG279" s="554" t="str">
        <f t="shared" si="411"/>
        <v>Broken Wire (# Broken Subconductors)</v>
      </c>
      <c r="BH279" s="552">
        <f t="shared" si="463"/>
        <v>4</v>
      </c>
      <c r="BI279" s="554" t="str">
        <f t="shared" si="413"/>
        <v>18:1:Ahead</v>
      </c>
      <c r="BJ279" s="554" t="str">
        <f t="shared" si="414"/>
        <v>Broken Wire (# Broken Subconductors)</v>
      </c>
      <c r="BK279" s="552">
        <f t="shared" si="464"/>
        <v>4</v>
      </c>
      <c r="BL279" s="554" t="str">
        <f t="shared" si="416"/>
        <v/>
      </c>
      <c r="BM279" s="554" t="str">
        <f t="shared" si="417"/>
        <v/>
      </c>
      <c r="BN279" s="552" t="str">
        <f t="shared" si="465"/>
        <v/>
      </c>
      <c r="BO279" s="554" t="str">
        <f t="shared" si="419"/>
        <v/>
      </c>
      <c r="BP279" s="554" t="str">
        <f t="shared" si="420"/>
        <v/>
      </c>
      <c r="BQ279" s="552" t="str">
        <f t="shared" si="466"/>
        <v/>
      </c>
      <c r="BR279" s="554"/>
      <c r="BS279" s="554"/>
      <c r="BT279" s="554"/>
      <c r="BU279" s="554"/>
      <c r="BV279" s="554"/>
      <c r="BW279" s="554"/>
      <c r="BX279" s="554"/>
      <c r="BY279" s="554"/>
      <c r="BZ279" s="554"/>
      <c r="CA279" s="554"/>
      <c r="CB279" s="554"/>
      <c r="CC279" s="554"/>
      <c r="CD279" s="554"/>
      <c r="CE279" s="554"/>
      <c r="CF279" s="554"/>
      <c r="CG279" s="554"/>
      <c r="CH279" s="554"/>
      <c r="CI279" s="554"/>
      <c r="CJ279" s="554"/>
      <c r="CK279" s="554"/>
      <c r="CL279" s="554"/>
      <c r="CM279" s="554"/>
      <c r="CN279" s="554"/>
      <c r="CO279" s="554"/>
      <c r="CP279" s="554"/>
      <c r="CQ279" s="554"/>
      <c r="CR279" s="554"/>
      <c r="CS279" s="554"/>
      <c r="CT279" s="554"/>
      <c r="CU279" s="554"/>
      <c r="CV279" s="554"/>
      <c r="CW279" s="554"/>
      <c r="CX279" s="554"/>
      <c r="CY279" s="554"/>
      <c r="CZ279" s="554"/>
      <c r="DA279" s="554"/>
      <c r="DB279" s="554"/>
      <c r="DC279" s="554"/>
      <c r="DD279" s="554"/>
      <c r="DE279" s="534"/>
      <c r="DF279" s="534"/>
      <c r="DG279" s="534"/>
    </row>
    <row r="280" spans="1:111" ht="15" x14ac:dyDescent="0.25">
      <c r="A280" s="549">
        <f>IFERROR(IF(INDEX('Weather Cases'!$E$10:$E$94,MATCH('Load Criteria'!X280,'Weather Cases'!$H$10:$H$94,0),1)=1,1,"-"),"-")</f>
        <v>1</v>
      </c>
      <c r="B280" s="555" t="s">
        <v>558</v>
      </c>
      <c r="C280" s="555" t="s">
        <v>573</v>
      </c>
      <c r="D280" s="555" t="s">
        <v>579</v>
      </c>
      <c r="E280" s="555">
        <v>2</v>
      </c>
      <c r="F280" s="556" t="s">
        <v>22</v>
      </c>
      <c r="G280" s="556" t="str">
        <f>IFERROR(IF(MID('Load Criteria'!X280,FIND("_",'Load Criteria'!X280,1)+1,1)=LEFT(Control!$D$23,1),"YES","-"),"-")</f>
        <v>-</v>
      </c>
      <c r="H280" s="549" t="s">
        <v>22</v>
      </c>
      <c r="I280" s="557" t="s">
        <v>327</v>
      </c>
      <c r="J280" s="550">
        <f>Control!$D$25</f>
        <v>1</v>
      </c>
      <c r="K280" s="508" t="s">
        <v>571</v>
      </c>
      <c r="L280" s="508" t="s">
        <v>40</v>
      </c>
      <c r="M280" s="550">
        <v>1</v>
      </c>
      <c r="N280" s="550">
        <v>2</v>
      </c>
      <c r="O280" s="550"/>
      <c r="P280" s="392"/>
      <c r="Q280" s="392"/>
      <c r="R280" s="392"/>
      <c r="S280" s="392"/>
      <c r="T280" s="392"/>
      <c r="U280" s="255" t="s">
        <v>574</v>
      </c>
      <c r="V280" s="551"/>
      <c r="W280" s="542" t="str">
        <f t="shared" si="398"/>
        <v>RW0001_8+TB12 NA-</v>
      </c>
      <c r="X280" s="552" t="str">
        <f>I280&amp;TEXT(J280,"0000")&amp;"_"&amp;LEFT(Control!$D$22,LEN(Control!$D$22)-2)</f>
        <v>RW0001_8</v>
      </c>
      <c r="Y280" s="552" t="s">
        <v>433</v>
      </c>
      <c r="Z280" s="552" t="str">
        <f t="shared" ref="Z280:Z287" si="467">U280</f>
        <v>NA-</v>
      </c>
      <c r="AA280" s="552"/>
      <c r="AB280" s="552">
        <v>1</v>
      </c>
      <c r="AC280" s="552">
        <v>1</v>
      </c>
      <c r="AD280" s="552">
        <v>1</v>
      </c>
      <c r="AE280" s="552">
        <v>1</v>
      </c>
      <c r="AF280" s="552">
        <v>1</v>
      </c>
      <c r="AG280" s="542" t="s">
        <v>561</v>
      </c>
      <c r="AH280" s="552">
        <v>0</v>
      </c>
      <c r="AI280" s="552">
        <v>0</v>
      </c>
      <c r="AJ280" s="552">
        <v>1</v>
      </c>
      <c r="AK280" s="552">
        <v>1</v>
      </c>
      <c r="AL280" s="552">
        <v>1</v>
      </c>
      <c r="AM280" s="552">
        <v>0</v>
      </c>
      <c r="AN280" s="552">
        <v>0</v>
      </c>
      <c r="AO280" s="552">
        <v>1</v>
      </c>
      <c r="AP280" s="552">
        <v>1</v>
      </c>
      <c r="AQ280" s="552">
        <v>1</v>
      </c>
      <c r="AR280" s="552">
        <v>1</v>
      </c>
      <c r="AS280" s="552">
        <v>1</v>
      </c>
      <c r="AT280" s="552">
        <v>1</v>
      </c>
      <c r="AU280" s="552">
        <v>1</v>
      </c>
      <c r="AV280" s="553" t="str">
        <f>IF(H280="YES",IF($AV$2="Y","'"&amp;INDEX('Structure Groups'!$C$12:$C$14,MATCH($B$5,'Structure Groups'!$B$12:$B$14,0),1)&amp;"'","'"&amp;INDEX('Structure Groups'!$C$16:$C$18,MATCH($B$5,'Structure Groups'!$B$16:$B$18,0),1)&amp;"'"),IF($AV$2="Y","'All'","'Stop'"))</f>
        <v>'Stop'</v>
      </c>
      <c r="AW280" s="552" t="s">
        <v>562</v>
      </c>
      <c r="AX280" s="552"/>
      <c r="AY280" s="552" t="str">
        <f t="shared" si="460"/>
        <v>Yes</v>
      </c>
      <c r="AZ280" s="554" t="str">
        <f t="shared" si="405"/>
        <v>1:1:Back</v>
      </c>
      <c r="BA280" s="554" t="str">
        <f t="shared" si="406"/>
        <v>Broken Wire (# Broken Subconductors)</v>
      </c>
      <c r="BB280" s="552">
        <f t="shared" ref="BB280:BB287" si="468">IF(AZ280="","",4)</f>
        <v>4</v>
      </c>
      <c r="BC280" s="554" t="str">
        <f t="shared" si="408"/>
        <v>11:1:Back</v>
      </c>
      <c r="BD280" s="554" t="str">
        <f t="shared" si="409"/>
        <v>Broken Wire (# Broken Subconductors)</v>
      </c>
      <c r="BE280" s="552">
        <f t="shared" ref="BE280:BE287" si="469">IF(BC280="","",4)</f>
        <v>4</v>
      </c>
      <c r="BF280" s="554" t="str">
        <f t="shared" si="403"/>
        <v>2:1:Back</v>
      </c>
      <c r="BG280" s="554" t="str">
        <f t="shared" si="411"/>
        <v>Broken Wire (# Broken Subconductors)</v>
      </c>
      <c r="BH280" s="552">
        <f t="shared" ref="BH280:BH287" si="470">IF(BF280="","",4)</f>
        <v>4</v>
      </c>
      <c r="BI280" s="554" t="str">
        <f t="shared" si="413"/>
        <v>12:1:Back</v>
      </c>
      <c r="BJ280" s="554" t="str">
        <f t="shared" si="414"/>
        <v>Broken Wire (# Broken Subconductors)</v>
      </c>
      <c r="BK280" s="552">
        <f t="shared" ref="BK280:BK287" si="471">IF(BI280="","",4)</f>
        <v>4</v>
      </c>
      <c r="BL280" s="554" t="str">
        <f t="shared" si="416"/>
        <v/>
      </c>
      <c r="BM280" s="554" t="str">
        <f t="shared" si="417"/>
        <v/>
      </c>
      <c r="BN280" s="552" t="str">
        <f t="shared" ref="BN280:BN287" si="472">IF(BL280="","",4)</f>
        <v/>
      </c>
      <c r="BO280" s="554" t="str">
        <f t="shared" si="419"/>
        <v/>
      </c>
      <c r="BP280" s="554" t="str">
        <f t="shared" si="420"/>
        <v/>
      </c>
      <c r="BQ280" s="552" t="str">
        <f t="shared" ref="BQ280:BQ287" si="473">IF(BO280="","",4)</f>
        <v/>
      </c>
      <c r="BR280" s="554"/>
      <c r="BS280" s="554"/>
      <c r="BT280" s="554"/>
      <c r="BU280" s="554"/>
      <c r="BV280" s="554"/>
      <c r="BW280" s="554"/>
      <c r="BX280" s="554"/>
      <c r="BY280" s="554"/>
      <c r="BZ280" s="554"/>
      <c r="CA280" s="554"/>
      <c r="CB280" s="554"/>
      <c r="CC280" s="554"/>
      <c r="CD280" s="554"/>
      <c r="CE280" s="554"/>
      <c r="CF280" s="554"/>
      <c r="CG280" s="554"/>
      <c r="CH280" s="554"/>
      <c r="CI280" s="554"/>
      <c r="CJ280" s="554"/>
      <c r="CK280" s="554"/>
      <c r="CL280" s="554"/>
      <c r="CM280" s="554"/>
      <c r="CN280" s="554"/>
      <c r="CO280" s="554"/>
      <c r="CP280" s="554"/>
      <c r="CQ280" s="554"/>
      <c r="CR280" s="554"/>
      <c r="CS280" s="554"/>
      <c r="CT280" s="554"/>
      <c r="CU280" s="554"/>
      <c r="CV280" s="554"/>
      <c r="CW280" s="554"/>
      <c r="CX280" s="554"/>
      <c r="CY280" s="554"/>
      <c r="CZ280" s="554"/>
      <c r="DA280" s="554"/>
      <c r="DB280" s="554"/>
      <c r="DC280" s="554"/>
      <c r="DD280" s="554"/>
      <c r="DE280" s="534"/>
      <c r="DF280" s="534"/>
      <c r="DG280" s="534"/>
    </row>
    <row r="281" spans="1:111" ht="15" x14ac:dyDescent="0.25">
      <c r="A281" s="549">
        <f>IFERROR(IF(INDEX('Weather Cases'!$E$10:$E$94,MATCH('Load Criteria'!X281,'Weather Cases'!$H$10:$H$94,0),1)=1,1,"-"),"-")</f>
        <v>1</v>
      </c>
      <c r="B281" s="555" t="s">
        <v>558</v>
      </c>
      <c r="C281" s="555" t="s">
        <v>573</v>
      </c>
      <c r="D281" s="555" t="s">
        <v>579</v>
      </c>
      <c r="E281" s="555">
        <v>2</v>
      </c>
      <c r="F281" s="556" t="s">
        <v>22</v>
      </c>
      <c r="G281" s="556" t="str">
        <f>IFERROR(IF(MID('Load Criteria'!X281,FIND("_",'Load Criteria'!X281,1)+1,1)=LEFT(Control!$D$23,1),"YES","-"),"-")</f>
        <v>-</v>
      </c>
      <c r="H281" s="549" t="s">
        <v>22</v>
      </c>
      <c r="I281" s="557" t="s">
        <v>327</v>
      </c>
      <c r="J281" s="550">
        <f>Control!$D$25</f>
        <v>1</v>
      </c>
      <c r="K281" s="508" t="s">
        <v>571</v>
      </c>
      <c r="L281" s="508" t="s">
        <v>40</v>
      </c>
      <c r="M281" s="550">
        <v>2</v>
      </c>
      <c r="N281" s="550">
        <v>3</v>
      </c>
      <c r="O281" s="550"/>
      <c r="P281" s="392"/>
      <c r="Q281" s="392"/>
      <c r="R281" s="392"/>
      <c r="S281" s="392"/>
      <c r="T281" s="392"/>
      <c r="U281" s="255" t="s">
        <v>574</v>
      </c>
      <c r="V281" s="551"/>
      <c r="W281" s="542" t="str">
        <f t="shared" si="398"/>
        <v>RW0001_8+TB23 NA-</v>
      </c>
      <c r="X281" s="552" t="str">
        <f>I281&amp;TEXT(J281,"0000")&amp;"_"&amp;LEFT(Control!$D$22,LEN(Control!$D$22)-2)</f>
        <v>RW0001_8</v>
      </c>
      <c r="Y281" s="552" t="s">
        <v>433</v>
      </c>
      <c r="Z281" s="552" t="str">
        <f t="shared" si="467"/>
        <v>NA-</v>
      </c>
      <c r="AA281" s="552"/>
      <c r="AB281" s="552">
        <v>1</v>
      </c>
      <c r="AC281" s="552">
        <v>1</v>
      </c>
      <c r="AD281" s="552">
        <v>1</v>
      </c>
      <c r="AE281" s="552">
        <v>1</v>
      </c>
      <c r="AF281" s="552">
        <v>1</v>
      </c>
      <c r="AG281" s="542" t="s">
        <v>561</v>
      </c>
      <c r="AH281" s="552">
        <v>0</v>
      </c>
      <c r="AI281" s="552">
        <v>0</v>
      </c>
      <c r="AJ281" s="552">
        <v>1</v>
      </c>
      <c r="AK281" s="552">
        <v>1</v>
      </c>
      <c r="AL281" s="552">
        <v>1</v>
      </c>
      <c r="AM281" s="552">
        <v>0</v>
      </c>
      <c r="AN281" s="552">
        <v>0</v>
      </c>
      <c r="AO281" s="552">
        <v>1</v>
      </c>
      <c r="AP281" s="552">
        <v>1</v>
      </c>
      <c r="AQ281" s="552">
        <v>1</v>
      </c>
      <c r="AR281" s="552">
        <v>1</v>
      </c>
      <c r="AS281" s="552">
        <v>1</v>
      </c>
      <c r="AT281" s="552">
        <v>1</v>
      </c>
      <c r="AU281" s="552">
        <v>1</v>
      </c>
      <c r="AV281" s="553" t="str">
        <f>IF(H281="YES",IF($AV$2="Y","'"&amp;INDEX('Structure Groups'!$C$12:$C$14,MATCH($B$5,'Structure Groups'!$B$12:$B$14,0),1)&amp;"'","'"&amp;INDEX('Structure Groups'!$C$16:$C$18,MATCH($B$5,'Structure Groups'!$B$16:$B$18,0),1)&amp;"'"),IF($AV$2="Y","'All'","'Stop'"))</f>
        <v>'Stop'</v>
      </c>
      <c r="AW281" s="552" t="s">
        <v>562</v>
      </c>
      <c r="AX281" s="552"/>
      <c r="AY281" s="552" t="str">
        <f t="shared" si="460"/>
        <v>Yes</v>
      </c>
      <c r="AZ281" s="554" t="str">
        <f t="shared" si="405"/>
        <v>2:1:Back</v>
      </c>
      <c r="BA281" s="554" t="str">
        <f t="shared" si="406"/>
        <v>Broken Wire (# Broken Subconductors)</v>
      </c>
      <c r="BB281" s="552">
        <f t="shared" si="468"/>
        <v>4</v>
      </c>
      <c r="BC281" s="554" t="str">
        <f t="shared" si="408"/>
        <v>12:1:Back</v>
      </c>
      <c r="BD281" s="554" t="str">
        <f t="shared" si="409"/>
        <v>Broken Wire (# Broken Subconductors)</v>
      </c>
      <c r="BE281" s="552">
        <f t="shared" si="469"/>
        <v>4</v>
      </c>
      <c r="BF281" s="554" t="str">
        <f t="shared" si="403"/>
        <v>3:1:Back</v>
      </c>
      <c r="BG281" s="554" t="str">
        <f t="shared" si="411"/>
        <v>Broken Wire (# Broken Subconductors)</v>
      </c>
      <c r="BH281" s="552">
        <f t="shared" si="470"/>
        <v>4</v>
      </c>
      <c r="BI281" s="554" t="str">
        <f t="shared" si="413"/>
        <v>13:1:Back</v>
      </c>
      <c r="BJ281" s="554" t="str">
        <f t="shared" si="414"/>
        <v>Broken Wire (# Broken Subconductors)</v>
      </c>
      <c r="BK281" s="552">
        <f t="shared" si="471"/>
        <v>4</v>
      </c>
      <c r="BL281" s="554" t="str">
        <f t="shared" si="416"/>
        <v/>
      </c>
      <c r="BM281" s="554" t="str">
        <f t="shared" si="417"/>
        <v/>
      </c>
      <c r="BN281" s="552" t="str">
        <f t="shared" si="472"/>
        <v/>
      </c>
      <c r="BO281" s="554" t="str">
        <f t="shared" si="419"/>
        <v/>
      </c>
      <c r="BP281" s="554" t="str">
        <f t="shared" si="420"/>
        <v/>
      </c>
      <c r="BQ281" s="552" t="str">
        <f t="shared" si="473"/>
        <v/>
      </c>
      <c r="BR281" s="554"/>
      <c r="BS281" s="554"/>
      <c r="BT281" s="554"/>
      <c r="BU281" s="554"/>
      <c r="BV281" s="554"/>
      <c r="BW281" s="554"/>
      <c r="BX281" s="554"/>
      <c r="BY281" s="554"/>
      <c r="BZ281" s="554"/>
      <c r="CA281" s="554"/>
      <c r="CB281" s="554"/>
      <c r="CC281" s="554"/>
      <c r="CD281" s="554"/>
      <c r="CE281" s="554"/>
      <c r="CF281" s="554"/>
      <c r="CG281" s="554"/>
      <c r="CH281" s="554"/>
      <c r="CI281" s="554"/>
      <c r="CJ281" s="554"/>
      <c r="CK281" s="554"/>
      <c r="CL281" s="554"/>
      <c r="CM281" s="554"/>
      <c r="CN281" s="554"/>
      <c r="CO281" s="554"/>
      <c r="CP281" s="554"/>
      <c r="CQ281" s="554"/>
      <c r="CR281" s="554"/>
      <c r="CS281" s="554"/>
      <c r="CT281" s="554"/>
      <c r="CU281" s="554"/>
      <c r="CV281" s="554"/>
      <c r="CW281" s="554"/>
      <c r="CX281" s="554"/>
      <c r="CY281" s="554"/>
      <c r="CZ281" s="554"/>
      <c r="DA281" s="554"/>
      <c r="DB281" s="554"/>
      <c r="DC281" s="554"/>
      <c r="DD281" s="554"/>
      <c r="DE281" s="534"/>
      <c r="DF281" s="534"/>
      <c r="DG281" s="534"/>
    </row>
    <row r="282" spans="1:111" ht="15" x14ac:dyDescent="0.25">
      <c r="A282" s="549">
        <f>IFERROR(IF(INDEX('Weather Cases'!$E$10:$E$94,MATCH('Load Criteria'!X282,'Weather Cases'!$H$10:$H$94,0),1)=1,1,"-"),"-")</f>
        <v>1</v>
      </c>
      <c r="B282" s="555" t="s">
        <v>558</v>
      </c>
      <c r="C282" s="555" t="s">
        <v>573</v>
      </c>
      <c r="D282" s="555" t="s">
        <v>579</v>
      </c>
      <c r="E282" s="555">
        <v>2</v>
      </c>
      <c r="F282" s="556" t="s">
        <v>22</v>
      </c>
      <c r="G282" s="556" t="str">
        <f>IFERROR(IF(MID('Load Criteria'!X282,FIND("_",'Load Criteria'!X282,1)+1,1)=LEFT(Control!$D$23,1),"YES","-"),"-")</f>
        <v>-</v>
      </c>
      <c r="H282" s="549" t="s">
        <v>22</v>
      </c>
      <c r="I282" s="557" t="s">
        <v>327</v>
      </c>
      <c r="J282" s="550">
        <f>Control!$D$25</f>
        <v>1</v>
      </c>
      <c r="K282" s="508" t="s">
        <v>571</v>
      </c>
      <c r="L282" s="508" t="s">
        <v>40</v>
      </c>
      <c r="M282" s="550">
        <v>1</v>
      </c>
      <c r="N282" s="550">
        <v>3</v>
      </c>
      <c r="O282" s="550"/>
      <c r="P282" s="392"/>
      <c r="Q282" s="392"/>
      <c r="R282" s="392"/>
      <c r="S282" s="392"/>
      <c r="T282" s="392"/>
      <c r="U282" s="255" t="s">
        <v>574</v>
      </c>
      <c r="V282" s="551"/>
      <c r="W282" s="542" t="str">
        <f t="shared" si="398"/>
        <v>RW0001_8+TB13 NA-</v>
      </c>
      <c r="X282" s="552" t="str">
        <f>I282&amp;TEXT(J282,"0000")&amp;"_"&amp;LEFT(Control!$D$22,LEN(Control!$D$22)-2)</f>
        <v>RW0001_8</v>
      </c>
      <c r="Y282" s="552" t="s">
        <v>433</v>
      </c>
      <c r="Z282" s="552" t="str">
        <f t="shared" si="467"/>
        <v>NA-</v>
      </c>
      <c r="AA282" s="552"/>
      <c r="AB282" s="552">
        <v>1</v>
      </c>
      <c r="AC282" s="552">
        <v>1</v>
      </c>
      <c r="AD282" s="552">
        <v>1</v>
      </c>
      <c r="AE282" s="552">
        <v>1</v>
      </c>
      <c r="AF282" s="552">
        <v>1</v>
      </c>
      <c r="AG282" s="542" t="s">
        <v>561</v>
      </c>
      <c r="AH282" s="552">
        <v>0</v>
      </c>
      <c r="AI282" s="552">
        <v>0</v>
      </c>
      <c r="AJ282" s="552">
        <v>1</v>
      </c>
      <c r="AK282" s="552">
        <v>1</v>
      </c>
      <c r="AL282" s="552">
        <v>1</v>
      </c>
      <c r="AM282" s="552">
        <v>0</v>
      </c>
      <c r="AN282" s="552">
        <v>0</v>
      </c>
      <c r="AO282" s="552">
        <v>1</v>
      </c>
      <c r="AP282" s="552">
        <v>1</v>
      </c>
      <c r="AQ282" s="552">
        <v>1</v>
      </c>
      <c r="AR282" s="552">
        <v>1</v>
      </c>
      <c r="AS282" s="552">
        <v>1</v>
      </c>
      <c r="AT282" s="552">
        <v>1</v>
      </c>
      <c r="AU282" s="552">
        <v>1</v>
      </c>
      <c r="AV282" s="553" t="str">
        <f>IF(H282="YES",IF($AV$2="Y","'"&amp;INDEX('Structure Groups'!$C$12:$C$14,MATCH($B$5,'Structure Groups'!$B$12:$B$14,0),1)&amp;"'","'"&amp;INDEX('Structure Groups'!$C$16:$C$18,MATCH($B$5,'Structure Groups'!$B$16:$B$18,0),1)&amp;"'"),IF($AV$2="Y","'All'","'Stop'"))</f>
        <v>'Stop'</v>
      </c>
      <c r="AW282" s="552" t="s">
        <v>562</v>
      </c>
      <c r="AX282" s="552"/>
      <c r="AY282" s="552" t="str">
        <f t="shared" si="460"/>
        <v>Yes</v>
      </c>
      <c r="AZ282" s="554" t="str">
        <f t="shared" si="405"/>
        <v>1:1:Back</v>
      </c>
      <c r="BA282" s="554" t="str">
        <f t="shared" si="406"/>
        <v>Broken Wire (# Broken Subconductors)</v>
      </c>
      <c r="BB282" s="552">
        <f t="shared" si="468"/>
        <v>4</v>
      </c>
      <c r="BC282" s="554" t="str">
        <f t="shared" si="408"/>
        <v>11:1:Back</v>
      </c>
      <c r="BD282" s="554" t="str">
        <f t="shared" si="409"/>
        <v>Broken Wire (# Broken Subconductors)</v>
      </c>
      <c r="BE282" s="552">
        <f t="shared" si="469"/>
        <v>4</v>
      </c>
      <c r="BF282" s="554" t="str">
        <f t="shared" si="403"/>
        <v>3:1:Back</v>
      </c>
      <c r="BG282" s="554" t="str">
        <f t="shared" si="411"/>
        <v>Broken Wire (# Broken Subconductors)</v>
      </c>
      <c r="BH282" s="552">
        <f t="shared" si="470"/>
        <v>4</v>
      </c>
      <c r="BI282" s="554" t="str">
        <f t="shared" si="413"/>
        <v>13:1:Back</v>
      </c>
      <c r="BJ282" s="554" t="str">
        <f t="shared" si="414"/>
        <v>Broken Wire (# Broken Subconductors)</v>
      </c>
      <c r="BK282" s="552">
        <f t="shared" si="471"/>
        <v>4</v>
      </c>
      <c r="BL282" s="554" t="str">
        <f t="shared" si="416"/>
        <v/>
      </c>
      <c r="BM282" s="554" t="str">
        <f t="shared" si="417"/>
        <v/>
      </c>
      <c r="BN282" s="552" t="str">
        <f t="shared" si="472"/>
        <v/>
      </c>
      <c r="BO282" s="554" t="str">
        <f t="shared" si="419"/>
        <v/>
      </c>
      <c r="BP282" s="554" t="str">
        <f t="shared" si="420"/>
        <v/>
      </c>
      <c r="BQ282" s="552" t="str">
        <f t="shared" si="473"/>
        <v/>
      </c>
      <c r="BR282" s="554"/>
      <c r="BS282" s="554"/>
      <c r="BT282" s="554"/>
      <c r="BU282" s="554"/>
      <c r="BV282" s="554"/>
      <c r="BW282" s="554"/>
      <c r="BX282" s="554"/>
      <c r="BY282" s="554"/>
      <c r="BZ282" s="554"/>
      <c r="CA282" s="554"/>
      <c r="CB282" s="554"/>
      <c r="CC282" s="554"/>
      <c r="CD282" s="554"/>
      <c r="CE282" s="554"/>
      <c r="CF282" s="554"/>
      <c r="CG282" s="554"/>
      <c r="CH282" s="554"/>
      <c r="CI282" s="554"/>
      <c r="CJ282" s="554"/>
      <c r="CK282" s="554"/>
      <c r="CL282" s="554"/>
      <c r="CM282" s="554"/>
      <c r="CN282" s="554"/>
      <c r="CO282" s="554"/>
      <c r="CP282" s="554"/>
      <c r="CQ282" s="554"/>
      <c r="CR282" s="554"/>
      <c r="CS282" s="554"/>
      <c r="CT282" s="554"/>
      <c r="CU282" s="554"/>
      <c r="CV282" s="554"/>
      <c r="CW282" s="554"/>
      <c r="CX282" s="554"/>
      <c r="CY282" s="554"/>
      <c r="CZ282" s="554"/>
      <c r="DA282" s="554"/>
      <c r="DB282" s="554"/>
      <c r="DC282" s="554"/>
      <c r="DD282" s="554"/>
      <c r="DE282" s="534"/>
      <c r="DF282" s="534"/>
      <c r="DG282" s="534"/>
    </row>
    <row r="283" spans="1:111" ht="15" x14ac:dyDescent="0.25">
      <c r="A283" s="549">
        <f>IFERROR(IF(INDEX('Weather Cases'!$E$10:$E$94,MATCH('Load Criteria'!X283,'Weather Cases'!$H$10:$H$94,0),1)=1,1,"-"),"-")</f>
        <v>1</v>
      </c>
      <c r="B283" s="555" t="s">
        <v>558</v>
      </c>
      <c r="C283" s="555" t="s">
        <v>573</v>
      </c>
      <c r="D283" s="555" t="s">
        <v>579</v>
      </c>
      <c r="E283" s="555">
        <v>2</v>
      </c>
      <c r="F283" s="555" t="s">
        <v>580</v>
      </c>
      <c r="G283" s="556" t="str">
        <f>IFERROR(IF(MID('Load Criteria'!X283,FIND("_",'Load Criteria'!X283,1)+1,1)=LEFT(Control!$D$23,1),"YES","-"),"-")</f>
        <v>-</v>
      </c>
      <c r="H283" s="549" t="s">
        <v>22</v>
      </c>
      <c r="I283" s="557" t="s">
        <v>327</v>
      </c>
      <c r="J283" s="550">
        <f>Control!$D$25</f>
        <v>1</v>
      </c>
      <c r="K283" s="508" t="s">
        <v>571</v>
      </c>
      <c r="L283" s="508" t="s">
        <v>40</v>
      </c>
      <c r="M283" s="550">
        <v>3</v>
      </c>
      <c r="N283" s="550">
        <v>7</v>
      </c>
      <c r="O283" s="550"/>
      <c r="P283" s="392"/>
      <c r="Q283" s="392"/>
      <c r="R283" s="392"/>
      <c r="S283" s="392"/>
      <c r="T283" s="392"/>
      <c r="U283" s="255" t="s">
        <v>574</v>
      </c>
      <c r="V283" s="551"/>
      <c r="W283" s="542" t="str">
        <f t="shared" si="398"/>
        <v>RW0001_8+TB37 NA-</v>
      </c>
      <c r="X283" s="552" t="str">
        <f>I283&amp;TEXT(J283,"0000")&amp;"_"&amp;LEFT(Control!$D$22,LEN(Control!$D$22)-2)</f>
        <v>RW0001_8</v>
      </c>
      <c r="Y283" s="552" t="s">
        <v>433</v>
      </c>
      <c r="Z283" s="552" t="str">
        <f t="shared" si="467"/>
        <v>NA-</v>
      </c>
      <c r="AA283" s="552"/>
      <c r="AB283" s="552">
        <v>1</v>
      </c>
      <c r="AC283" s="552">
        <v>1</v>
      </c>
      <c r="AD283" s="552">
        <v>1</v>
      </c>
      <c r="AE283" s="552">
        <v>1</v>
      </c>
      <c r="AF283" s="552">
        <v>1</v>
      </c>
      <c r="AG283" s="542" t="s">
        <v>561</v>
      </c>
      <c r="AH283" s="552">
        <v>0</v>
      </c>
      <c r="AI283" s="552">
        <v>0</v>
      </c>
      <c r="AJ283" s="552">
        <v>1</v>
      </c>
      <c r="AK283" s="552">
        <v>1</v>
      </c>
      <c r="AL283" s="552">
        <v>1</v>
      </c>
      <c r="AM283" s="552">
        <v>0</v>
      </c>
      <c r="AN283" s="552">
        <v>0</v>
      </c>
      <c r="AO283" s="552">
        <v>1</v>
      </c>
      <c r="AP283" s="552">
        <v>1</v>
      </c>
      <c r="AQ283" s="552">
        <v>1</v>
      </c>
      <c r="AR283" s="552">
        <v>1</v>
      </c>
      <c r="AS283" s="552">
        <v>1</v>
      </c>
      <c r="AT283" s="552">
        <v>1</v>
      </c>
      <c r="AU283" s="552">
        <v>1</v>
      </c>
      <c r="AV283" s="553" t="str">
        <f>IF(H283="YES",IF($AV$2="Y","'"&amp;INDEX('Structure Groups'!$C$12:$C$14,MATCH($B$5,'Structure Groups'!$B$12:$B$14,0),1)&amp;"'","'"&amp;INDEX('Structure Groups'!$C$16:$C$18,MATCH($B$5,'Structure Groups'!$B$16:$B$18,0),1)&amp;"'"),IF($AV$2="Y","'All'","'Stop'"))</f>
        <v>'Stop'</v>
      </c>
      <c r="AW283" s="552" t="s">
        <v>562</v>
      </c>
      <c r="AX283" s="552"/>
      <c r="AY283" s="552" t="str">
        <f t="shared" si="460"/>
        <v>Yes</v>
      </c>
      <c r="AZ283" s="554" t="str">
        <f t="shared" si="405"/>
        <v>3:1:Back</v>
      </c>
      <c r="BA283" s="554" t="str">
        <f t="shared" si="406"/>
        <v>Broken Wire (# Broken Subconductors)</v>
      </c>
      <c r="BB283" s="552">
        <f t="shared" si="468"/>
        <v>4</v>
      </c>
      <c r="BC283" s="554" t="str">
        <f t="shared" si="408"/>
        <v>13:1:Back</v>
      </c>
      <c r="BD283" s="554" t="str">
        <f t="shared" si="409"/>
        <v>Broken Wire (# Broken Subconductors)</v>
      </c>
      <c r="BE283" s="552">
        <f t="shared" si="469"/>
        <v>4</v>
      </c>
      <c r="BF283" s="554" t="str">
        <f t="shared" si="403"/>
        <v>7:1:Back</v>
      </c>
      <c r="BG283" s="554" t="str">
        <f t="shared" si="411"/>
        <v>Broken Wire (# Broken Subconductors)</v>
      </c>
      <c r="BH283" s="552">
        <f t="shared" si="470"/>
        <v>4</v>
      </c>
      <c r="BI283" s="554" t="str">
        <f t="shared" si="413"/>
        <v>17:1:Back</v>
      </c>
      <c r="BJ283" s="554" t="str">
        <f t="shared" si="414"/>
        <v>Broken Wire (# Broken Subconductors)</v>
      </c>
      <c r="BK283" s="552">
        <f t="shared" si="471"/>
        <v>4</v>
      </c>
      <c r="BL283" s="554" t="str">
        <f t="shared" si="416"/>
        <v/>
      </c>
      <c r="BM283" s="554" t="str">
        <f t="shared" si="417"/>
        <v/>
      </c>
      <c r="BN283" s="552" t="str">
        <f t="shared" si="472"/>
        <v/>
      </c>
      <c r="BO283" s="554" t="str">
        <f t="shared" si="419"/>
        <v/>
      </c>
      <c r="BP283" s="554" t="str">
        <f t="shared" si="420"/>
        <v/>
      </c>
      <c r="BQ283" s="552" t="str">
        <f t="shared" si="473"/>
        <v/>
      </c>
      <c r="BR283" s="554"/>
      <c r="BS283" s="554"/>
      <c r="BT283" s="554"/>
      <c r="BU283" s="554"/>
      <c r="BV283" s="554"/>
      <c r="BW283" s="554"/>
      <c r="BX283" s="554"/>
      <c r="BY283" s="554"/>
      <c r="BZ283" s="554"/>
      <c r="CA283" s="554"/>
      <c r="CB283" s="554"/>
      <c r="CC283" s="554"/>
      <c r="CD283" s="554"/>
      <c r="CE283" s="554"/>
      <c r="CF283" s="554"/>
      <c r="CG283" s="554"/>
      <c r="CH283" s="554"/>
      <c r="CI283" s="554"/>
      <c r="CJ283" s="554"/>
      <c r="CK283" s="554"/>
      <c r="CL283" s="554"/>
      <c r="CM283" s="554"/>
      <c r="CN283" s="554"/>
      <c r="CO283" s="554"/>
      <c r="CP283" s="554"/>
      <c r="CQ283" s="554"/>
      <c r="CR283" s="554"/>
      <c r="CS283" s="554"/>
      <c r="CT283" s="554"/>
      <c r="CU283" s="554"/>
      <c r="CV283" s="554"/>
      <c r="CW283" s="554"/>
      <c r="CX283" s="554"/>
      <c r="CY283" s="554"/>
      <c r="CZ283" s="554"/>
      <c r="DA283" s="554"/>
      <c r="DB283" s="554"/>
      <c r="DC283" s="554"/>
      <c r="DD283" s="554"/>
      <c r="DE283" s="534"/>
      <c r="DF283" s="534"/>
      <c r="DG283" s="534"/>
    </row>
    <row r="284" spans="1:111" ht="15" x14ac:dyDescent="0.25">
      <c r="A284" s="549">
        <f>IFERROR(IF(INDEX('Weather Cases'!$E$10:$E$94,MATCH('Load Criteria'!X284,'Weather Cases'!$H$10:$H$94,0),1)=1,1,"-"),"-")</f>
        <v>1</v>
      </c>
      <c r="B284" s="555" t="s">
        <v>558</v>
      </c>
      <c r="C284" s="555" t="s">
        <v>573</v>
      </c>
      <c r="D284" s="555" t="s">
        <v>579</v>
      </c>
      <c r="E284" s="555">
        <v>2</v>
      </c>
      <c r="F284" s="556" t="s">
        <v>22</v>
      </c>
      <c r="G284" s="556" t="str">
        <f>IFERROR(IF(MID('Load Criteria'!X284,FIND("_",'Load Criteria'!X284,1)+1,1)=LEFT(Control!$D$23,1),"YES","-"),"-")</f>
        <v>-</v>
      </c>
      <c r="H284" s="549" t="s">
        <v>22</v>
      </c>
      <c r="I284" s="557" t="s">
        <v>327</v>
      </c>
      <c r="J284" s="550">
        <f>Control!$D$25</f>
        <v>1</v>
      </c>
      <c r="K284" s="508" t="s">
        <v>571</v>
      </c>
      <c r="L284" s="508" t="s">
        <v>40</v>
      </c>
      <c r="M284" s="550">
        <v>4</v>
      </c>
      <c r="N284" s="550">
        <v>5</v>
      </c>
      <c r="O284" s="550"/>
      <c r="P284" s="392"/>
      <c r="Q284" s="392"/>
      <c r="R284" s="392"/>
      <c r="S284" s="392"/>
      <c r="T284" s="392"/>
      <c r="U284" s="255" t="s">
        <v>574</v>
      </c>
      <c r="V284" s="551"/>
      <c r="W284" s="542" t="str">
        <f t="shared" si="398"/>
        <v>RW0001_8+TB45 NA-</v>
      </c>
      <c r="X284" s="552" t="str">
        <f>I284&amp;TEXT(J284,"0000")&amp;"_"&amp;LEFT(Control!$D$22,LEN(Control!$D$22)-2)</f>
        <v>RW0001_8</v>
      </c>
      <c r="Y284" s="552" t="s">
        <v>433</v>
      </c>
      <c r="Z284" s="552" t="str">
        <f t="shared" si="467"/>
        <v>NA-</v>
      </c>
      <c r="AA284" s="552"/>
      <c r="AB284" s="552">
        <v>1</v>
      </c>
      <c r="AC284" s="552">
        <v>1</v>
      </c>
      <c r="AD284" s="552">
        <v>1</v>
      </c>
      <c r="AE284" s="552">
        <v>1</v>
      </c>
      <c r="AF284" s="552">
        <v>1</v>
      </c>
      <c r="AG284" s="542" t="s">
        <v>561</v>
      </c>
      <c r="AH284" s="552">
        <v>0</v>
      </c>
      <c r="AI284" s="552">
        <v>0</v>
      </c>
      <c r="AJ284" s="552">
        <v>1</v>
      </c>
      <c r="AK284" s="552">
        <v>1</v>
      </c>
      <c r="AL284" s="552">
        <v>1</v>
      </c>
      <c r="AM284" s="552">
        <v>0</v>
      </c>
      <c r="AN284" s="552">
        <v>0</v>
      </c>
      <c r="AO284" s="552">
        <v>1</v>
      </c>
      <c r="AP284" s="552">
        <v>1</v>
      </c>
      <c r="AQ284" s="552">
        <v>1</v>
      </c>
      <c r="AR284" s="552">
        <v>1</v>
      </c>
      <c r="AS284" s="552">
        <v>1</v>
      </c>
      <c r="AT284" s="552">
        <v>1</v>
      </c>
      <c r="AU284" s="552">
        <v>1</v>
      </c>
      <c r="AV284" s="553" t="str">
        <f>IF(H284="YES",IF($AV$2="Y","'"&amp;INDEX('Structure Groups'!$C$12:$C$14,MATCH($B$5,'Structure Groups'!$B$12:$B$14,0),1)&amp;"'","'"&amp;INDEX('Structure Groups'!$C$16:$C$18,MATCH($B$5,'Structure Groups'!$B$16:$B$18,0),1)&amp;"'"),IF($AV$2="Y","'All'","'Stop'"))</f>
        <v>'Stop'</v>
      </c>
      <c r="AW284" s="552" t="s">
        <v>562</v>
      </c>
      <c r="AX284" s="552"/>
      <c r="AY284" s="552" t="str">
        <f t="shared" si="460"/>
        <v>Yes</v>
      </c>
      <c r="AZ284" s="554" t="str">
        <f t="shared" si="405"/>
        <v>4:1:Back</v>
      </c>
      <c r="BA284" s="554" t="str">
        <f t="shared" si="406"/>
        <v>Broken Wire (# Broken Subconductors)</v>
      </c>
      <c r="BB284" s="552">
        <f t="shared" si="468"/>
        <v>4</v>
      </c>
      <c r="BC284" s="554" t="str">
        <f t="shared" si="408"/>
        <v>14:1:Back</v>
      </c>
      <c r="BD284" s="554" t="str">
        <f t="shared" si="409"/>
        <v>Broken Wire (# Broken Subconductors)</v>
      </c>
      <c r="BE284" s="552">
        <f t="shared" si="469"/>
        <v>4</v>
      </c>
      <c r="BF284" s="554" t="str">
        <f t="shared" si="403"/>
        <v>5:1:Back</v>
      </c>
      <c r="BG284" s="554" t="str">
        <f t="shared" si="411"/>
        <v>Broken Wire (# Broken Subconductors)</v>
      </c>
      <c r="BH284" s="552">
        <f t="shared" si="470"/>
        <v>4</v>
      </c>
      <c r="BI284" s="554" t="str">
        <f t="shared" si="413"/>
        <v>15:1:Back</v>
      </c>
      <c r="BJ284" s="554" t="str">
        <f t="shared" si="414"/>
        <v>Broken Wire (# Broken Subconductors)</v>
      </c>
      <c r="BK284" s="552">
        <f t="shared" si="471"/>
        <v>4</v>
      </c>
      <c r="BL284" s="554" t="str">
        <f t="shared" si="416"/>
        <v/>
      </c>
      <c r="BM284" s="554" t="str">
        <f t="shared" si="417"/>
        <v/>
      </c>
      <c r="BN284" s="552" t="str">
        <f t="shared" si="472"/>
        <v/>
      </c>
      <c r="BO284" s="554" t="str">
        <f t="shared" si="419"/>
        <v/>
      </c>
      <c r="BP284" s="554" t="str">
        <f t="shared" si="420"/>
        <v/>
      </c>
      <c r="BQ284" s="552" t="str">
        <f t="shared" si="473"/>
        <v/>
      </c>
      <c r="BR284" s="554"/>
      <c r="BS284" s="554"/>
      <c r="BT284" s="554"/>
      <c r="BU284" s="554"/>
      <c r="BV284" s="554"/>
      <c r="BW284" s="554"/>
      <c r="BX284" s="554"/>
      <c r="BY284" s="554"/>
      <c r="BZ284" s="554"/>
      <c r="CA284" s="554"/>
      <c r="CB284" s="554"/>
      <c r="CC284" s="554"/>
      <c r="CD284" s="554"/>
      <c r="CE284" s="554"/>
      <c r="CF284" s="554"/>
      <c r="CG284" s="554"/>
      <c r="CH284" s="554"/>
      <c r="CI284" s="554"/>
      <c r="CJ284" s="554"/>
      <c r="CK284" s="554"/>
      <c r="CL284" s="554"/>
      <c r="CM284" s="554"/>
      <c r="CN284" s="554"/>
      <c r="CO284" s="554"/>
      <c r="CP284" s="554"/>
      <c r="CQ284" s="554"/>
      <c r="CR284" s="554"/>
      <c r="CS284" s="554"/>
      <c r="CT284" s="554"/>
      <c r="CU284" s="554"/>
      <c r="CV284" s="554"/>
      <c r="CW284" s="554"/>
      <c r="CX284" s="554"/>
      <c r="CY284" s="554"/>
      <c r="CZ284" s="554"/>
      <c r="DA284" s="554"/>
      <c r="DB284" s="554"/>
      <c r="DC284" s="554"/>
      <c r="DD284" s="554"/>
      <c r="DE284" s="534"/>
      <c r="DF284" s="534"/>
      <c r="DG284" s="534"/>
    </row>
    <row r="285" spans="1:111" ht="15" x14ac:dyDescent="0.25">
      <c r="A285" s="549">
        <f>IFERROR(IF(INDEX('Weather Cases'!$E$10:$E$94,MATCH('Load Criteria'!X285,'Weather Cases'!$H$10:$H$94,0),1)=1,1,"-"),"-")</f>
        <v>1</v>
      </c>
      <c r="B285" s="555" t="s">
        <v>558</v>
      </c>
      <c r="C285" s="555" t="s">
        <v>573</v>
      </c>
      <c r="D285" s="555" t="s">
        <v>579</v>
      </c>
      <c r="E285" s="555">
        <v>2</v>
      </c>
      <c r="F285" s="556" t="s">
        <v>22</v>
      </c>
      <c r="G285" s="556" t="str">
        <f>IFERROR(IF(MID('Load Criteria'!X285,FIND("_",'Load Criteria'!X285,1)+1,1)=LEFT(Control!$D$23,1),"YES","-"),"-")</f>
        <v>-</v>
      </c>
      <c r="H285" s="549" t="s">
        <v>22</v>
      </c>
      <c r="I285" s="557" t="s">
        <v>327</v>
      </c>
      <c r="J285" s="550">
        <f>Control!$D$25</f>
        <v>1</v>
      </c>
      <c r="K285" s="508" t="s">
        <v>571</v>
      </c>
      <c r="L285" s="508" t="s">
        <v>40</v>
      </c>
      <c r="M285" s="550">
        <v>4</v>
      </c>
      <c r="N285" s="550">
        <v>6</v>
      </c>
      <c r="O285" s="550"/>
      <c r="P285" s="392"/>
      <c r="Q285" s="392"/>
      <c r="R285" s="392"/>
      <c r="S285" s="392"/>
      <c r="T285" s="392"/>
      <c r="U285" s="255" t="s">
        <v>574</v>
      </c>
      <c r="V285" s="551"/>
      <c r="W285" s="542" t="str">
        <f t="shared" si="398"/>
        <v>RW0001_8+TB46 NA-</v>
      </c>
      <c r="X285" s="552" t="str">
        <f>I285&amp;TEXT(J285,"0000")&amp;"_"&amp;LEFT(Control!$D$22,LEN(Control!$D$22)-2)</f>
        <v>RW0001_8</v>
      </c>
      <c r="Y285" s="552" t="s">
        <v>433</v>
      </c>
      <c r="Z285" s="552" t="str">
        <f t="shared" si="467"/>
        <v>NA-</v>
      </c>
      <c r="AA285" s="552"/>
      <c r="AB285" s="552">
        <v>1</v>
      </c>
      <c r="AC285" s="552">
        <v>1</v>
      </c>
      <c r="AD285" s="552">
        <v>1</v>
      </c>
      <c r="AE285" s="552">
        <v>1</v>
      </c>
      <c r="AF285" s="552">
        <v>1</v>
      </c>
      <c r="AG285" s="542" t="s">
        <v>561</v>
      </c>
      <c r="AH285" s="552">
        <v>0</v>
      </c>
      <c r="AI285" s="552">
        <v>0</v>
      </c>
      <c r="AJ285" s="552">
        <v>1</v>
      </c>
      <c r="AK285" s="552">
        <v>1</v>
      </c>
      <c r="AL285" s="552">
        <v>1</v>
      </c>
      <c r="AM285" s="552">
        <v>0</v>
      </c>
      <c r="AN285" s="552">
        <v>0</v>
      </c>
      <c r="AO285" s="552">
        <v>1</v>
      </c>
      <c r="AP285" s="552">
        <v>1</v>
      </c>
      <c r="AQ285" s="552">
        <v>1</v>
      </c>
      <c r="AR285" s="552">
        <v>1</v>
      </c>
      <c r="AS285" s="552">
        <v>1</v>
      </c>
      <c r="AT285" s="552">
        <v>1</v>
      </c>
      <c r="AU285" s="552">
        <v>1</v>
      </c>
      <c r="AV285" s="553" t="str">
        <f>IF(H285="YES",IF($AV$2="Y","'"&amp;INDEX('Structure Groups'!$C$12:$C$14,MATCH($B$5,'Structure Groups'!$B$12:$B$14,0),1)&amp;"'","'"&amp;INDEX('Structure Groups'!$C$16:$C$18,MATCH($B$5,'Structure Groups'!$B$16:$B$18,0),1)&amp;"'"),IF($AV$2="Y","'All'","'Stop'"))</f>
        <v>'Stop'</v>
      </c>
      <c r="AW285" s="552" t="s">
        <v>562</v>
      </c>
      <c r="AX285" s="552"/>
      <c r="AY285" s="552" t="str">
        <f t="shared" si="460"/>
        <v>Yes</v>
      </c>
      <c r="AZ285" s="554" t="str">
        <f t="shared" si="405"/>
        <v>4:1:Back</v>
      </c>
      <c r="BA285" s="554" t="str">
        <f t="shared" si="406"/>
        <v>Broken Wire (# Broken Subconductors)</v>
      </c>
      <c r="BB285" s="552">
        <f t="shared" si="468"/>
        <v>4</v>
      </c>
      <c r="BC285" s="554" t="str">
        <f t="shared" si="408"/>
        <v>14:1:Back</v>
      </c>
      <c r="BD285" s="554" t="str">
        <f t="shared" si="409"/>
        <v>Broken Wire (# Broken Subconductors)</v>
      </c>
      <c r="BE285" s="552">
        <f t="shared" si="469"/>
        <v>4</v>
      </c>
      <c r="BF285" s="554" t="str">
        <f t="shared" si="403"/>
        <v>6:1:Back</v>
      </c>
      <c r="BG285" s="554" t="str">
        <f t="shared" si="411"/>
        <v>Broken Wire (# Broken Subconductors)</v>
      </c>
      <c r="BH285" s="552">
        <f t="shared" si="470"/>
        <v>4</v>
      </c>
      <c r="BI285" s="554" t="str">
        <f t="shared" si="413"/>
        <v>16:1:Back</v>
      </c>
      <c r="BJ285" s="554" t="str">
        <f t="shared" si="414"/>
        <v>Broken Wire (# Broken Subconductors)</v>
      </c>
      <c r="BK285" s="552">
        <f t="shared" si="471"/>
        <v>4</v>
      </c>
      <c r="BL285" s="554" t="str">
        <f t="shared" si="416"/>
        <v/>
      </c>
      <c r="BM285" s="554" t="str">
        <f t="shared" si="417"/>
        <v/>
      </c>
      <c r="BN285" s="552" t="str">
        <f t="shared" si="472"/>
        <v/>
      </c>
      <c r="BO285" s="554" t="str">
        <f t="shared" si="419"/>
        <v/>
      </c>
      <c r="BP285" s="554" t="str">
        <f t="shared" si="420"/>
        <v/>
      </c>
      <c r="BQ285" s="552" t="str">
        <f t="shared" si="473"/>
        <v/>
      </c>
      <c r="BR285" s="554"/>
      <c r="BS285" s="554"/>
      <c r="BT285" s="554"/>
      <c r="BU285" s="554"/>
      <c r="BV285" s="554"/>
      <c r="BW285" s="554"/>
      <c r="BX285" s="554"/>
      <c r="BY285" s="554"/>
      <c r="BZ285" s="554"/>
      <c r="CA285" s="554"/>
      <c r="CB285" s="554"/>
      <c r="CC285" s="554"/>
      <c r="CD285" s="554"/>
      <c r="CE285" s="554"/>
      <c r="CF285" s="554"/>
      <c r="CG285" s="554"/>
      <c r="CH285" s="554"/>
      <c r="CI285" s="554"/>
      <c r="CJ285" s="554"/>
      <c r="CK285" s="554"/>
      <c r="CL285" s="554"/>
      <c r="CM285" s="554"/>
      <c r="CN285" s="554"/>
      <c r="CO285" s="554"/>
      <c r="CP285" s="554"/>
      <c r="CQ285" s="554"/>
      <c r="CR285" s="554"/>
      <c r="CS285" s="554"/>
      <c r="CT285" s="554"/>
      <c r="CU285" s="554"/>
      <c r="CV285" s="554"/>
      <c r="CW285" s="554"/>
      <c r="CX285" s="554"/>
      <c r="CY285" s="554"/>
      <c r="CZ285" s="554"/>
      <c r="DA285" s="554"/>
      <c r="DB285" s="554"/>
      <c r="DC285" s="554"/>
      <c r="DD285" s="554"/>
      <c r="DE285" s="534"/>
      <c r="DF285" s="534"/>
      <c r="DG285" s="534"/>
    </row>
    <row r="286" spans="1:111" ht="15" x14ac:dyDescent="0.25">
      <c r="A286" s="549">
        <f>IFERROR(IF(INDEX('Weather Cases'!$E$10:$E$94,MATCH('Load Criteria'!X286,'Weather Cases'!$H$10:$H$94,0),1)=1,1,"-"),"-")</f>
        <v>1</v>
      </c>
      <c r="B286" s="555" t="s">
        <v>558</v>
      </c>
      <c r="C286" s="555" t="s">
        <v>573</v>
      </c>
      <c r="D286" s="555" t="s">
        <v>579</v>
      </c>
      <c r="E286" s="555">
        <v>2</v>
      </c>
      <c r="F286" s="556" t="s">
        <v>22</v>
      </c>
      <c r="G286" s="556" t="str">
        <f>IFERROR(IF(MID('Load Criteria'!X286,FIND("_",'Load Criteria'!X286,1)+1,1)=LEFT(Control!$D$23,1),"YES","-"),"-")</f>
        <v>-</v>
      </c>
      <c r="H286" s="549" t="s">
        <v>22</v>
      </c>
      <c r="I286" s="557" t="s">
        <v>327</v>
      </c>
      <c r="J286" s="550">
        <f>Control!$D$25</f>
        <v>1</v>
      </c>
      <c r="K286" s="508" t="s">
        <v>571</v>
      </c>
      <c r="L286" s="508" t="s">
        <v>40</v>
      </c>
      <c r="M286" s="550">
        <v>5</v>
      </c>
      <c r="N286" s="550">
        <v>6</v>
      </c>
      <c r="O286" s="550"/>
      <c r="P286" s="392"/>
      <c r="Q286" s="392"/>
      <c r="R286" s="392"/>
      <c r="S286" s="392"/>
      <c r="T286" s="392"/>
      <c r="U286" s="255" t="s">
        <v>574</v>
      </c>
      <c r="V286" s="551"/>
      <c r="W286" s="542" t="str">
        <f t="shared" si="398"/>
        <v>RW0001_8+TB56 NA-</v>
      </c>
      <c r="X286" s="552" t="str">
        <f>I286&amp;TEXT(J286,"0000")&amp;"_"&amp;LEFT(Control!$D$22,LEN(Control!$D$22)-2)</f>
        <v>RW0001_8</v>
      </c>
      <c r="Y286" s="552" t="s">
        <v>433</v>
      </c>
      <c r="Z286" s="552" t="str">
        <f t="shared" si="467"/>
        <v>NA-</v>
      </c>
      <c r="AA286" s="552"/>
      <c r="AB286" s="552">
        <v>1</v>
      </c>
      <c r="AC286" s="552">
        <v>1</v>
      </c>
      <c r="AD286" s="552">
        <v>1</v>
      </c>
      <c r="AE286" s="552">
        <v>1</v>
      </c>
      <c r="AF286" s="552">
        <v>1</v>
      </c>
      <c r="AG286" s="542" t="s">
        <v>561</v>
      </c>
      <c r="AH286" s="552">
        <v>0</v>
      </c>
      <c r="AI286" s="552">
        <v>0</v>
      </c>
      <c r="AJ286" s="552">
        <v>1</v>
      </c>
      <c r="AK286" s="552">
        <v>1</v>
      </c>
      <c r="AL286" s="552">
        <v>1</v>
      </c>
      <c r="AM286" s="552">
        <v>0</v>
      </c>
      <c r="AN286" s="552">
        <v>0</v>
      </c>
      <c r="AO286" s="552">
        <v>1</v>
      </c>
      <c r="AP286" s="552">
        <v>1</v>
      </c>
      <c r="AQ286" s="552">
        <v>1</v>
      </c>
      <c r="AR286" s="552">
        <v>1</v>
      </c>
      <c r="AS286" s="552">
        <v>1</v>
      </c>
      <c r="AT286" s="552">
        <v>1</v>
      </c>
      <c r="AU286" s="552">
        <v>1</v>
      </c>
      <c r="AV286" s="553" t="str">
        <f>IF(H286="YES",IF($AV$2="Y","'"&amp;INDEX('Structure Groups'!$C$12:$C$14,MATCH($B$5,'Structure Groups'!$B$12:$B$14,0),1)&amp;"'","'"&amp;INDEX('Structure Groups'!$C$16:$C$18,MATCH($B$5,'Structure Groups'!$B$16:$B$18,0),1)&amp;"'"),IF($AV$2="Y","'All'","'Stop'"))</f>
        <v>'Stop'</v>
      </c>
      <c r="AW286" s="552" t="s">
        <v>562</v>
      </c>
      <c r="AX286" s="552"/>
      <c r="AY286" s="552" t="str">
        <f t="shared" si="460"/>
        <v>Yes</v>
      </c>
      <c r="AZ286" s="554" t="str">
        <f t="shared" si="405"/>
        <v>5:1:Back</v>
      </c>
      <c r="BA286" s="554" t="str">
        <f t="shared" si="406"/>
        <v>Broken Wire (# Broken Subconductors)</v>
      </c>
      <c r="BB286" s="552">
        <f t="shared" si="468"/>
        <v>4</v>
      </c>
      <c r="BC286" s="554" t="str">
        <f t="shared" si="408"/>
        <v>15:1:Back</v>
      </c>
      <c r="BD286" s="554" t="str">
        <f t="shared" si="409"/>
        <v>Broken Wire (# Broken Subconductors)</v>
      </c>
      <c r="BE286" s="552">
        <f t="shared" si="469"/>
        <v>4</v>
      </c>
      <c r="BF286" s="554" t="str">
        <f t="shared" si="403"/>
        <v>6:1:Back</v>
      </c>
      <c r="BG286" s="554" t="str">
        <f t="shared" si="411"/>
        <v>Broken Wire (# Broken Subconductors)</v>
      </c>
      <c r="BH286" s="552">
        <f t="shared" si="470"/>
        <v>4</v>
      </c>
      <c r="BI286" s="554" t="str">
        <f t="shared" si="413"/>
        <v>16:1:Back</v>
      </c>
      <c r="BJ286" s="554" t="str">
        <f t="shared" si="414"/>
        <v>Broken Wire (# Broken Subconductors)</v>
      </c>
      <c r="BK286" s="552">
        <f t="shared" si="471"/>
        <v>4</v>
      </c>
      <c r="BL286" s="554" t="str">
        <f t="shared" si="416"/>
        <v/>
      </c>
      <c r="BM286" s="554" t="str">
        <f t="shared" si="417"/>
        <v/>
      </c>
      <c r="BN286" s="552" t="str">
        <f t="shared" si="472"/>
        <v/>
      </c>
      <c r="BO286" s="554" t="str">
        <f t="shared" si="419"/>
        <v/>
      </c>
      <c r="BP286" s="554" t="str">
        <f t="shared" si="420"/>
        <v/>
      </c>
      <c r="BQ286" s="552" t="str">
        <f t="shared" si="473"/>
        <v/>
      </c>
      <c r="BR286" s="554"/>
      <c r="BS286" s="554"/>
      <c r="BT286" s="554"/>
      <c r="BU286" s="554"/>
      <c r="BV286" s="554"/>
      <c r="BW286" s="554"/>
      <c r="BX286" s="554"/>
      <c r="BY286" s="554"/>
      <c r="BZ286" s="554"/>
      <c r="CA286" s="554"/>
      <c r="CB286" s="554"/>
      <c r="CC286" s="554"/>
      <c r="CD286" s="554"/>
      <c r="CE286" s="554"/>
      <c r="CF286" s="554"/>
      <c r="CG286" s="554"/>
      <c r="CH286" s="554"/>
      <c r="CI286" s="554"/>
      <c r="CJ286" s="554"/>
      <c r="CK286" s="554"/>
      <c r="CL286" s="554"/>
      <c r="CM286" s="554"/>
      <c r="CN286" s="554"/>
      <c r="CO286" s="554"/>
      <c r="CP286" s="554"/>
      <c r="CQ286" s="554"/>
      <c r="CR286" s="554"/>
      <c r="CS286" s="554"/>
      <c r="CT286" s="554"/>
      <c r="CU286" s="554"/>
      <c r="CV286" s="554"/>
      <c r="CW286" s="554"/>
      <c r="CX286" s="554"/>
      <c r="CY286" s="554"/>
      <c r="CZ286" s="554"/>
      <c r="DA286" s="554"/>
      <c r="DB286" s="554"/>
      <c r="DC286" s="554"/>
      <c r="DD286" s="554"/>
      <c r="DE286" s="534"/>
      <c r="DF286" s="534"/>
      <c r="DG286" s="534"/>
    </row>
    <row r="287" spans="1:111" ht="15" x14ac:dyDescent="0.25">
      <c r="A287" s="549">
        <f>IFERROR(IF(INDEX('Weather Cases'!$E$10:$E$94,MATCH('Load Criteria'!X287,'Weather Cases'!$H$10:$H$94,0),1)=1,1,"-"),"-")</f>
        <v>1</v>
      </c>
      <c r="B287" s="555" t="s">
        <v>558</v>
      </c>
      <c r="C287" s="555" t="s">
        <v>573</v>
      </c>
      <c r="D287" s="555" t="s">
        <v>579</v>
      </c>
      <c r="E287" s="555">
        <v>2</v>
      </c>
      <c r="F287" s="555" t="s">
        <v>581</v>
      </c>
      <c r="G287" s="556" t="str">
        <f>IFERROR(IF(MID('Load Criteria'!X287,FIND("_",'Load Criteria'!X287,1)+1,1)=LEFT(Control!$D$23,1),"YES","-"),"-")</f>
        <v>-</v>
      </c>
      <c r="H287" s="549" t="s">
        <v>22</v>
      </c>
      <c r="I287" s="557" t="s">
        <v>327</v>
      </c>
      <c r="J287" s="550">
        <f>Control!$D$25</f>
        <v>1</v>
      </c>
      <c r="K287" s="508" t="s">
        <v>571</v>
      </c>
      <c r="L287" s="508" t="s">
        <v>40</v>
      </c>
      <c r="M287" s="550">
        <v>6</v>
      </c>
      <c r="N287" s="550">
        <v>8</v>
      </c>
      <c r="O287" s="550"/>
      <c r="P287" s="392"/>
      <c r="Q287" s="392"/>
      <c r="R287" s="392"/>
      <c r="S287" s="392"/>
      <c r="T287" s="392"/>
      <c r="U287" s="255" t="s">
        <v>574</v>
      </c>
      <c r="V287" s="551"/>
      <c r="W287" s="542" t="str">
        <f t="shared" si="398"/>
        <v>RW0001_8+TB68 NA-</v>
      </c>
      <c r="X287" s="552" t="str">
        <f>I287&amp;TEXT(J287,"0000")&amp;"_"&amp;LEFT(Control!$D$22,LEN(Control!$D$22)-2)</f>
        <v>RW0001_8</v>
      </c>
      <c r="Y287" s="552" t="s">
        <v>433</v>
      </c>
      <c r="Z287" s="552" t="str">
        <f t="shared" si="467"/>
        <v>NA-</v>
      </c>
      <c r="AA287" s="552"/>
      <c r="AB287" s="552">
        <v>1</v>
      </c>
      <c r="AC287" s="552">
        <v>1</v>
      </c>
      <c r="AD287" s="552">
        <v>1</v>
      </c>
      <c r="AE287" s="552">
        <v>1</v>
      </c>
      <c r="AF287" s="552">
        <v>1</v>
      </c>
      <c r="AG287" s="542" t="s">
        <v>561</v>
      </c>
      <c r="AH287" s="552">
        <v>0</v>
      </c>
      <c r="AI287" s="552">
        <v>0</v>
      </c>
      <c r="AJ287" s="552">
        <v>1</v>
      </c>
      <c r="AK287" s="552">
        <v>1</v>
      </c>
      <c r="AL287" s="552">
        <v>1</v>
      </c>
      <c r="AM287" s="552">
        <v>0</v>
      </c>
      <c r="AN287" s="552">
        <v>0</v>
      </c>
      <c r="AO287" s="552">
        <v>1</v>
      </c>
      <c r="AP287" s="552">
        <v>1</v>
      </c>
      <c r="AQ287" s="552">
        <v>1</v>
      </c>
      <c r="AR287" s="552">
        <v>1</v>
      </c>
      <c r="AS287" s="552">
        <v>1</v>
      </c>
      <c r="AT287" s="552">
        <v>1</v>
      </c>
      <c r="AU287" s="552">
        <v>1</v>
      </c>
      <c r="AV287" s="553" t="str">
        <f>IF(H287="YES",IF($AV$2="Y","'"&amp;INDEX('Structure Groups'!$C$12:$C$14,MATCH($B$5,'Structure Groups'!$B$12:$B$14,0),1)&amp;"'","'"&amp;INDEX('Structure Groups'!$C$16:$C$18,MATCH($B$5,'Structure Groups'!$B$16:$B$18,0),1)&amp;"'"),IF($AV$2="Y","'All'","'Stop'"))</f>
        <v>'Stop'</v>
      </c>
      <c r="AW287" s="552" t="s">
        <v>562</v>
      </c>
      <c r="AX287" s="552"/>
      <c r="AY287" s="552" t="str">
        <f t="shared" si="460"/>
        <v>Yes</v>
      </c>
      <c r="AZ287" s="554" t="str">
        <f t="shared" si="405"/>
        <v>6:1:Back</v>
      </c>
      <c r="BA287" s="554" t="str">
        <f t="shared" si="406"/>
        <v>Broken Wire (# Broken Subconductors)</v>
      </c>
      <c r="BB287" s="552">
        <f t="shared" si="468"/>
        <v>4</v>
      </c>
      <c r="BC287" s="554" t="str">
        <f t="shared" si="408"/>
        <v>16:1:Back</v>
      </c>
      <c r="BD287" s="554" t="str">
        <f t="shared" si="409"/>
        <v>Broken Wire (# Broken Subconductors)</v>
      </c>
      <c r="BE287" s="552">
        <f t="shared" si="469"/>
        <v>4</v>
      </c>
      <c r="BF287" s="554" t="str">
        <f t="shared" si="403"/>
        <v>8:1:Back</v>
      </c>
      <c r="BG287" s="554" t="str">
        <f t="shared" si="411"/>
        <v>Broken Wire (# Broken Subconductors)</v>
      </c>
      <c r="BH287" s="552">
        <f t="shared" si="470"/>
        <v>4</v>
      </c>
      <c r="BI287" s="554" t="str">
        <f t="shared" si="413"/>
        <v>18:1:Back</v>
      </c>
      <c r="BJ287" s="554" t="str">
        <f t="shared" si="414"/>
        <v>Broken Wire (# Broken Subconductors)</v>
      </c>
      <c r="BK287" s="552">
        <f t="shared" si="471"/>
        <v>4</v>
      </c>
      <c r="BL287" s="554" t="str">
        <f t="shared" si="416"/>
        <v/>
      </c>
      <c r="BM287" s="554" t="str">
        <f t="shared" si="417"/>
        <v/>
      </c>
      <c r="BN287" s="552" t="str">
        <f t="shared" si="472"/>
        <v/>
      </c>
      <c r="BO287" s="554" t="str">
        <f t="shared" si="419"/>
        <v/>
      </c>
      <c r="BP287" s="554" t="str">
        <f t="shared" si="420"/>
        <v/>
      </c>
      <c r="BQ287" s="552" t="str">
        <f t="shared" si="473"/>
        <v/>
      </c>
      <c r="BR287" s="554"/>
      <c r="BS287" s="554"/>
      <c r="BT287" s="554"/>
      <c r="BU287" s="554"/>
      <c r="BV287" s="554"/>
      <c r="BW287" s="554"/>
      <c r="BX287" s="554"/>
      <c r="BY287" s="554"/>
      <c r="BZ287" s="554"/>
      <c r="CA287" s="554"/>
      <c r="CB287" s="554"/>
      <c r="CC287" s="554"/>
      <c r="CD287" s="554"/>
      <c r="CE287" s="554"/>
      <c r="CF287" s="554"/>
      <c r="CG287" s="554"/>
      <c r="CH287" s="554"/>
      <c r="CI287" s="554"/>
      <c r="CJ287" s="554"/>
      <c r="CK287" s="554"/>
      <c r="CL287" s="554"/>
      <c r="CM287" s="554"/>
      <c r="CN287" s="554"/>
      <c r="CO287" s="554"/>
      <c r="CP287" s="554"/>
      <c r="CQ287" s="554"/>
      <c r="CR287" s="554"/>
      <c r="CS287" s="554"/>
      <c r="CT287" s="554"/>
      <c r="CU287" s="554"/>
      <c r="CV287" s="554"/>
      <c r="CW287" s="554"/>
      <c r="CX287" s="554"/>
      <c r="CY287" s="554"/>
      <c r="CZ287" s="554"/>
      <c r="DA287" s="554"/>
      <c r="DB287" s="554"/>
      <c r="DC287" s="554"/>
      <c r="DD287" s="554"/>
      <c r="DE287" s="534"/>
      <c r="DF287" s="534"/>
      <c r="DG287" s="534"/>
    </row>
    <row r="288" spans="1:111" ht="15" hidden="1" x14ac:dyDescent="0.25">
      <c r="A288" s="549" t="str">
        <f>IFERROR(IF(INDEX('Weather Cases'!$E$10:$E$94,MATCH('Load Criteria'!X288,'Weather Cases'!$H$10:$H$94,0),1)=1,1,"-"),"-")</f>
        <v>-</v>
      </c>
      <c r="B288" s="556" t="s">
        <v>22</v>
      </c>
      <c r="C288" s="556" t="s">
        <v>22</v>
      </c>
      <c r="D288" s="556" t="s">
        <v>22</v>
      </c>
      <c r="E288" s="556" t="s">
        <v>22</v>
      </c>
      <c r="F288" s="556" t="s">
        <v>22</v>
      </c>
      <c r="G288" s="556" t="str">
        <f>IFERROR(IF(MID('Load Criteria'!X288,FIND("_",'Load Criteria'!X288,1)+1,1)=LEFT(Control!$D$23,1),"YES","-"),"-")</f>
        <v>-</v>
      </c>
      <c r="H288" s="549" t="s">
        <v>22</v>
      </c>
      <c r="I288" s="256" t="s">
        <v>582</v>
      </c>
      <c r="J288" s="561"/>
      <c r="K288" s="561"/>
      <c r="L288" s="561"/>
      <c r="M288" s="561"/>
      <c r="N288" s="561"/>
      <c r="O288" s="561"/>
      <c r="P288" s="396"/>
      <c r="Q288" s="396"/>
      <c r="R288" s="396"/>
      <c r="S288" s="396"/>
      <c r="T288" s="396"/>
      <c r="U288" s="561"/>
      <c r="V288" s="561"/>
      <c r="W288" s="554"/>
      <c r="X288" s="554"/>
      <c r="Y288" s="554"/>
      <c r="Z288" s="554"/>
      <c r="AA288" s="554"/>
      <c r="AB288" s="554"/>
      <c r="AC288" s="554"/>
      <c r="AD288" s="554"/>
      <c r="AE288" s="554"/>
      <c r="AF288" s="554"/>
      <c r="AG288" s="554"/>
      <c r="AH288" s="554"/>
      <c r="AI288" s="554"/>
      <c r="AJ288" s="554"/>
      <c r="AK288" s="554"/>
      <c r="AL288" s="554"/>
      <c r="AM288" s="554"/>
      <c r="AN288" s="554"/>
      <c r="AO288" s="554"/>
      <c r="AP288" s="554"/>
      <c r="AQ288" s="554"/>
      <c r="AR288" s="554"/>
      <c r="AS288" s="554"/>
      <c r="AT288" s="554"/>
      <c r="AU288" s="554"/>
      <c r="AV288" s="562"/>
      <c r="AW288" s="554"/>
      <c r="AX288" s="554"/>
      <c r="AY288" s="554"/>
      <c r="AZ288" s="554"/>
      <c r="BA288" s="554"/>
      <c r="BB288" s="552"/>
      <c r="BC288" s="554"/>
      <c r="BD288" s="552"/>
      <c r="BE288" s="554"/>
      <c r="BF288" s="554"/>
      <c r="BG288" s="554"/>
      <c r="BH288" s="554"/>
      <c r="BI288" s="554"/>
      <c r="BJ288" s="554"/>
      <c r="BK288" s="554"/>
      <c r="BL288" s="554"/>
      <c r="BM288" s="554"/>
      <c r="BN288" s="554"/>
      <c r="BO288" s="554"/>
      <c r="BP288" s="554"/>
      <c r="BQ288" s="554"/>
      <c r="BR288" s="554"/>
      <c r="BS288" s="554"/>
      <c r="BT288" s="554"/>
      <c r="BU288" s="554"/>
      <c r="BV288" s="554"/>
      <c r="BW288" s="554"/>
      <c r="BX288" s="554"/>
      <c r="BY288" s="554"/>
      <c r="BZ288" s="554"/>
      <c r="CA288" s="554"/>
      <c r="CB288" s="554"/>
      <c r="CC288" s="554"/>
      <c r="CD288" s="554"/>
      <c r="CE288" s="554"/>
      <c r="CF288" s="554"/>
      <c r="CG288" s="554"/>
      <c r="CH288" s="554"/>
      <c r="CI288" s="554"/>
      <c r="CJ288" s="554"/>
      <c r="CK288" s="554"/>
      <c r="CL288" s="554"/>
      <c r="CM288" s="554"/>
      <c r="CN288" s="554"/>
      <c r="CO288" s="554"/>
      <c r="CP288" s="554"/>
      <c r="CQ288" s="554"/>
      <c r="CR288" s="554"/>
      <c r="CS288" s="554"/>
      <c r="CT288" s="554"/>
      <c r="CU288" s="554"/>
      <c r="CV288" s="554"/>
      <c r="CW288" s="554"/>
      <c r="CX288" s="554"/>
      <c r="CY288" s="554"/>
      <c r="CZ288" s="554"/>
      <c r="DA288" s="554"/>
      <c r="DB288" s="554"/>
      <c r="DC288" s="554"/>
      <c r="DD288" s="554"/>
      <c r="DE288" s="534"/>
      <c r="DF288" s="534"/>
      <c r="DG288" s="534"/>
    </row>
    <row r="289" spans="1:111" ht="15" x14ac:dyDescent="0.25">
      <c r="A289" s="549">
        <f>IFERROR(IF(INDEX('Weather Cases'!$E$10:$E$94,MATCH('Load Criteria'!X289,'Weather Cases'!$H$10:$H$94,0),1)=1,1,"-"),"-")</f>
        <v>1</v>
      </c>
      <c r="B289" s="555" t="s">
        <v>558</v>
      </c>
      <c r="C289" s="556" t="str">
        <f>IF('Weather Cases'!$E$44=0,"","DC/SC")</f>
        <v>DC/SC</v>
      </c>
      <c r="D289" s="555" t="s">
        <v>579</v>
      </c>
      <c r="E289" s="556" t="s">
        <v>558</v>
      </c>
      <c r="F289" s="556" t="s">
        <v>22</v>
      </c>
      <c r="G289" s="556" t="str">
        <f>IFERROR(IF(MID('Load Criteria'!X289,FIND("_",'Load Criteria'!X289,1)+1,1)=LEFT(Control!$D$23,1),"YES","-"),"-")</f>
        <v>-</v>
      </c>
      <c r="H289" s="549" t="s">
        <v>22</v>
      </c>
      <c r="I289" s="557" t="s">
        <v>331</v>
      </c>
      <c r="J289" s="550">
        <f>Control!$D$25</f>
        <v>1</v>
      </c>
      <c r="K289" s="508" t="s">
        <v>569</v>
      </c>
      <c r="L289" s="508" t="s">
        <v>24</v>
      </c>
      <c r="M289" s="508"/>
      <c r="N289" s="508"/>
      <c r="O289" s="508"/>
      <c r="P289" s="395"/>
      <c r="Q289" s="395"/>
      <c r="R289" s="395"/>
      <c r="S289" s="395"/>
      <c r="T289" s="395"/>
      <c r="U289" s="255" t="s">
        <v>568</v>
      </c>
      <c r="V289" s="551" t="s">
        <v>300</v>
      </c>
      <c r="W289" s="542" t="str">
        <f t="shared" si="398"/>
        <v>RS0001_8+LA NA+</v>
      </c>
      <c r="X289" s="552" t="str">
        <f>I289&amp;TEXT(J289,"0000")&amp;"_"&amp;LEFT(Control!$D$22,LEN(Control!$D$22)-2)</f>
        <v>RS0001_8</v>
      </c>
      <c r="Y289" s="552" t="s">
        <v>433</v>
      </c>
      <c r="Z289" s="552" t="str">
        <f>U289</f>
        <v>NA+</v>
      </c>
      <c r="AA289" s="552"/>
      <c r="AB289" s="552">
        <v>1</v>
      </c>
      <c r="AC289" s="552">
        <v>1</v>
      </c>
      <c r="AD289" s="552">
        <v>1</v>
      </c>
      <c r="AE289" s="552">
        <v>1</v>
      </c>
      <c r="AF289" s="552">
        <v>1</v>
      </c>
      <c r="AG289" s="542" t="s">
        <v>561</v>
      </c>
      <c r="AH289" s="552">
        <v>0</v>
      </c>
      <c r="AI289" s="552">
        <v>0</v>
      </c>
      <c r="AJ289" s="552">
        <v>1</v>
      </c>
      <c r="AK289" s="552">
        <v>1</v>
      </c>
      <c r="AL289" s="552">
        <v>1</v>
      </c>
      <c r="AM289" s="552">
        <v>0</v>
      </c>
      <c r="AN289" s="552">
        <v>0</v>
      </c>
      <c r="AO289" s="552">
        <v>1</v>
      </c>
      <c r="AP289" s="552">
        <v>1</v>
      </c>
      <c r="AQ289" s="552">
        <v>1</v>
      </c>
      <c r="AR289" s="552">
        <v>1</v>
      </c>
      <c r="AS289" s="552">
        <v>1</v>
      </c>
      <c r="AT289" s="552">
        <v>1</v>
      </c>
      <c r="AU289" s="552">
        <v>1</v>
      </c>
      <c r="AV289" s="553" t="str">
        <f>IF(H289="YES",IF($AV$2="Y","'"&amp;INDEX('Structure Groups'!$C$12:$C$14,MATCH($B$5,'Structure Groups'!$B$12:$B$14,0),1)&amp;"'","'"&amp;INDEX('Structure Groups'!$C$16:$C$18,MATCH($B$5,'Structure Groups'!$B$16:$B$18,0),1)&amp;"'"),IF($AV$2="Y","'All'","'Stop'"))</f>
        <v>'Stop'</v>
      </c>
      <c r="AW289" s="552" t="s">
        <v>562</v>
      </c>
      <c r="AX289" s="552"/>
      <c r="AY289" s="552" t="str">
        <f t="shared" ref="AY289:AY332" si="474">IF(L289="","No","Yes")</f>
        <v>Yes</v>
      </c>
      <c r="AZ289" s="554" t="str">
        <f>IF($AY289="No","",IF($L289="A","Ahead Spans","Back Spans"))</f>
        <v>Ahead Spans</v>
      </c>
      <c r="BA289" s="554" t="str">
        <f>IF(AZ289="","","Broken Wire (# Broken Subconductors)")</f>
        <v>Broken Wire (# Broken Subconductors)</v>
      </c>
      <c r="BB289" s="552">
        <v>4</v>
      </c>
      <c r="BC289" s="554"/>
      <c r="BD289" s="554"/>
      <c r="BE289" s="552"/>
      <c r="BF289" s="554" t="str">
        <f t="shared" si="403"/>
        <v/>
      </c>
      <c r="BG289" s="554" t="str">
        <f>IF(BF289="","","% Wire Ice")</f>
        <v/>
      </c>
      <c r="BH289" s="552" t="str">
        <f>IF(BF289="","",40)</f>
        <v/>
      </c>
      <c r="BI289" s="554" t="str">
        <f>IF($N289="","",$N289&amp;":1:"&amp;IF($L289="A","Back","Ahead"))</f>
        <v/>
      </c>
      <c r="BJ289" s="554" t="str">
        <f>IF(BI289="","","% Wire Ice")</f>
        <v/>
      </c>
      <c r="BK289" s="552" t="str">
        <f>IF(BH289="","",70)</f>
        <v/>
      </c>
      <c r="BL289" s="554" t="str">
        <f>IF($O289="","",$O289&amp;":1:"&amp;IF($L289="A","Ahead","Back"))</f>
        <v/>
      </c>
      <c r="BM289" s="554" t="str">
        <f>IF(BL289="","","% Wire Ice")</f>
        <v/>
      </c>
      <c r="BN289" s="552" t="str">
        <f>IF(BL289="","",40)</f>
        <v/>
      </c>
      <c r="BO289" s="554" t="str">
        <f>IF($O289="","",$O289&amp;":1:"&amp;IF($L289="A","Back","Ahead"))</f>
        <v/>
      </c>
      <c r="BP289" s="554" t="str">
        <f>IF(BO289="","","% Wire Ice")</f>
        <v/>
      </c>
      <c r="BQ289" s="552" t="str">
        <f>IF(BN289="","",70)</f>
        <v/>
      </c>
      <c r="BR289" s="554"/>
      <c r="BS289" s="554"/>
      <c r="BT289" s="554"/>
      <c r="BU289" s="554"/>
      <c r="BV289" s="554"/>
      <c r="BW289" s="554"/>
      <c r="BX289" s="554"/>
      <c r="BY289" s="554"/>
      <c r="BZ289" s="554"/>
      <c r="CA289" s="554"/>
      <c r="CB289" s="554"/>
      <c r="CC289" s="554"/>
      <c r="CD289" s="554"/>
      <c r="CE289" s="554"/>
      <c r="CF289" s="554"/>
      <c r="CG289" s="554"/>
      <c r="CH289" s="554"/>
      <c r="CI289" s="554"/>
      <c r="CJ289" s="554"/>
      <c r="CK289" s="554"/>
      <c r="CL289" s="554"/>
      <c r="CM289" s="554"/>
      <c r="CN289" s="554"/>
      <c r="CO289" s="554"/>
      <c r="CP289" s="554"/>
      <c r="CQ289" s="554"/>
      <c r="CR289" s="554"/>
      <c r="CS289" s="554"/>
      <c r="CT289" s="554"/>
      <c r="CU289" s="554"/>
      <c r="CV289" s="554"/>
      <c r="CW289" s="554"/>
      <c r="CX289" s="554"/>
      <c r="CY289" s="554"/>
      <c r="CZ289" s="554"/>
      <c r="DA289" s="554"/>
      <c r="DB289" s="554"/>
      <c r="DC289" s="554"/>
      <c r="DD289" s="554"/>
      <c r="DE289" s="534"/>
      <c r="DF289" s="534"/>
      <c r="DG289" s="534"/>
    </row>
    <row r="290" spans="1:111" ht="15" x14ac:dyDescent="0.25">
      <c r="A290" s="549">
        <f>IFERROR(IF(INDEX('Weather Cases'!$E$10:$E$94,MATCH('Load Criteria'!X290,'Weather Cases'!$H$10:$H$94,0),1)=1,1,"-"),"-")</f>
        <v>1</v>
      </c>
      <c r="B290" s="555" t="s">
        <v>558</v>
      </c>
      <c r="C290" s="556" t="str">
        <f>IF('Weather Cases'!$E$44=0,"","DC/SC")</f>
        <v>DC/SC</v>
      </c>
      <c r="D290" s="555" t="s">
        <v>579</v>
      </c>
      <c r="E290" s="556" t="s">
        <v>558</v>
      </c>
      <c r="F290" s="556" t="s">
        <v>22</v>
      </c>
      <c r="G290" s="556" t="str">
        <f>IFERROR(IF(MID('Load Criteria'!X290,FIND("_",'Load Criteria'!X290,1)+1,1)=LEFT(Control!$D$23,1),"YES","-"),"-")</f>
        <v>-</v>
      </c>
      <c r="H290" s="549" t="s">
        <v>22</v>
      </c>
      <c r="I290" s="557" t="s">
        <v>331</v>
      </c>
      <c r="J290" s="550">
        <f>Control!$D$25</f>
        <v>1</v>
      </c>
      <c r="K290" s="508" t="s">
        <v>569</v>
      </c>
      <c r="L290" s="508" t="s">
        <v>40</v>
      </c>
      <c r="M290" s="508"/>
      <c r="N290" s="508"/>
      <c r="O290" s="508"/>
      <c r="P290" s="395"/>
      <c r="Q290" s="395"/>
      <c r="R290" s="395"/>
      <c r="S290" s="395"/>
      <c r="T290" s="395"/>
      <c r="U290" s="255" t="s">
        <v>568</v>
      </c>
      <c r="V290" s="551" t="s">
        <v>300</v>
      </c>
      <c r="W290" s="542" t="str">
        <f t="shared" si="398"/>
        <v>RS0001_8+LB NA+</v>
      </c>
      <c r="X290" s="552" t="str">
        <f>I290&amp;TEXT(J290,"0000")&amp;"_"&amp;LEFT(Control!$D$22,LEN(Control!$D$22)-2)</f>
        <v>RS0001_8</v>
      </c>
      <c r="Y290" s="552" t="s">
        <v>433</v>
      </c>
      <c r="Z290" s="552" t="str">
        <f>U290</f>
        <v>NA+</v>
      </c>
      <c r="AA290" s="552"/>
      <c r="AB290" s="552">
        <v>1</v>
      </c>
      <c r="AC290" s="552">
        <v>1</v>
      </c>
      <c r="AD290" s="552">
        <v>1</v>
      </c>
      <c r="AE290" s="552">
        <v>1</v>
      </c>
      <c r="AF290" s="552">
        <v>1</v>
      </c>
      <c r="AG290" s="542" t="s">
        <v>561</v>
      </c>
      <c r="AH290" s="552">
        <v>0</v>
      </c>
      <c r="AI290" s="552">
        <v>0</v>
      </c>
      <c r="AJ290" s="552">
        <v>1</v>
      </c>
      <c r="AK290" s="552">
        <v>1</v>
      </c>
      <c r="AL290" s="552">
        <v>1</v>
      </c>
      <c r="AM290" s="552">
        <v>0</v>
      </c>
      <c r="AN290" s="552">
        <v>0</v>
      </c>
      <c r="AO290" s="552">
        <v>1</v>
      </c>
      <c r="AP290" s="552">
        <v>1</v>
      </c>
      <c r="AQ290" s="552">
        <v>1</v>
      </c>
      <c r="AR290" s="552">
        <v>1</v>
      </c>
      <c r="AS290" s="552">
        <v>1</v>
      </c>
      <c r="AT290" s="552">
        <v>1</v>
      </c>
      <c r="AU290" s="552">
        <v>1</v>
      </c>
      <c r="AV290" s="553" t="str">
        <f>IF(H290="YES",IF($AV$2="Y","'"&amp;INDEX('Structure Groups'!$C$12:$C$14,MATCH($B$5,'Structure Groups'!$B$12:$B$14,0),1)&amp;"'","'"&amp;INDEX('Structure Groups'!$C$16:$C$18,MATCH($B$5,'Structure Groups'!$B$16:$B$18,0),1)&amp;"'"),IF($AV$2="Y","'All'","'Stop'"))</f>
        <v>'Stop'</v>
      </c>
      <c r="AW290" s="552" t="s">
        <v>562</v>
      </c>
      <c r="AX290" s="552"/>
      <c r="AY290" s="552" t="str">
        <f t="shared" si="474"/>
        <v>Yes</v>
      </c>
      <c r="AZ290" s="554" t="str">
        <f>IF($AY290="No","",IF($L290="A","Ahead Spans","Back Spans"))</f>
        <v>Back Spans</v>
      </c>
      <c r="BA290" s="554" t="str">
        <f>IF(AZ290="","","Broken Wire (# Broken Subconductors)")</f>
        <v>Broken Wire (# Broken Subconductors)</v>
      </c>
      <c r="BB290" s="552">
        <v>4</v>
      </c>
      <c r="BC290" s="554"/>
      <c r="BD290" s="554"/>
      <c r="BE290" s="552"/>
      <c r="BF290" s="554" t="str">
        <f t="shared" si="403"/>
        <v/>
      </c>
      <c r="BG290" s="554" t="str">
        <f>IF(BF290="","","% Wire Ice")</f>
        <v/>
      </c>
      <c r="BH290" s="552" t="str">
        <f>IF(BF290="","",40)</f>
        <v/>
      </c>
      <c r="BI290" s="554" t="str">
        <f>IF($N290="","",$N290&amp;":1:"&amp;IF($L290="A","Back","Ahead"))</f>
        <v/>
      </c>
      <c r="BJ290" s="554" t="str">
        <f>IF(BI290="","","% Wire Ice")</f>
        <v/>
      </c>
      <c r="BK290" s="552" t="str">
        <f>IF(BH290="","",70)</f>
        <v/>
      </c>
      <c r="BL290" s="554" t="str">
        <f>IF($O290="","",$O290&amp;":1:"&amp;IF($L290="A","Ahead","Back"))</f>
        <v/>
      </c>
      <c r="BM290" s="554" t="str">
        <f>IF(BL290="","","% Wire Ice")</f>
        <v/>
      </c>
      <c r="BN290" s="552" t="str">
        <f>IF(BL290="","",40)</f>
        <v/>
      </c>
      <c r="BO290" s="554" t="str">
        <f>IF($O290="","",$O290&amp;":1:"&amp;IF($L290="A","Back","Ahead"))</f>
        <v/>
      </c>
      <c r="BP290" s="554" t="str">
        <f>IF(BO290="","","% Wire Ice")</f>
        <v/>
      </c>
      <c r="BQ290" s="552" t="str">
        <f>IF(BN290="","",70)</f>
        <v/>
      </c>
      <c r="BR290" s="554"/>
      <c r="BS290" s="554"/>
      <c r="BT290" s="554"/>
      <c r="BU290" s="554"/>
      <c r="BV290" s="554"/>
      <c r="BW290" s="554"/>
      <c r="BX290" s="554"/>
      <c r="BY290" s="554"/>
      <c r="BZ290" s="554"/>
      <c r="CA290" s="554"/>
      <c r="CB290" s="554"/>
      <c r="CC290" s="554"/>
      <c r="CD290" s="554"/>
      <c r="CE290" s="554"/>
      <c r="CF290" s="554"/>
      <c r="CG290" s="554"/>
      <c r="CH290" s="554"/>
      <c r="CI290" s="554"/>
      <c r="CJ290" s="554"/>
      <c r="CK290" s="554"/>
      <c r="CL290" s="554"/>
      <c r="CM290" s="554"/>
      <c r="CN290" s="554"/>
      <c r="CO290" s="554"/>
      <c r="CP290" s="554"/>
      <c r="CQ290" s="554"/>
      <c r="CR290" s="554"/>
      <c r="CS290" s="554"/>
      <c r="CT290" s="554"/>
      <c r="CU290" s="554"/>
      <c r="CV290" s="554"/>
      <c r="CW290" s="554"/>
      <c r="CX290" s="554"/>
      <c r="CY290" s="554"/>
      <c r="CZ290" s="554"/>
      <c r="DA290" s="554"/>
      <c r="DB290" s="554"/>
      <c r="DC290" s="554"/>
      <c r="DD290" s="554"/>
      <c r="DE290" s="534"/>
      <c r="DF290" s="534"/>
      <c r="DG290" s="534"/>
    </row>
    <row r="291" spans="1:111" ht="15" x14ac:dyDescent="0.25">
      <c r="A291" s="549">
        <f>IFERROR(IF(INDEX('Weather Cases'!$E$10:$E$94,MATCH('Load Criteria'!X291,'Weather Cases'!$H$10:$H$94,0),1)=1,1,"-"),"-")</f>
        <v>1</v>
      </c>
      <c r="B291" s="555" t="s">
        <v>558</v>
      </c>
      <c r="C291" s="556" t="str">
        <f>IF('Weather Cases'!$E$44=0,"","DC/SC")</f>
        <v>DC/SC</v>
      </c>
      <c r="D291" s="555" t="s">
        <v>579</v>
      </c>
      <c r="E291" s="556" t="s">
        <v>558</v>
      </c>
      <c r="F291" s="556" t="s">
        <v>22</v>
      </c>
      <c r="G291" s="556" t="str">
        <f>IFERROR(IF(MID('Load Criteria'!X291,FIND("_",'Load Criteria'!X291,1)+1,1)=LEFT(Control!$D$23,1),"YES","-"),"-")</f>
        <v>-</v>
      </c>
      <c r="H291" s="549" t="s">
        <v>22</v>
      </c>
      <c r="I291" s="557" t="s">
        <v>331</v>
      </c>
      <c r="J291" s="550">
        <f>Control!$D$25</f>
        <v>1</v>
      </c>
      <c r="K291" s="508" t="s">
        <v>569</v>
      </c>
      <c r="L291" s="508" t="s">
        <v>24</v>
      </c>
      <c r="M291" s="508"/>
      <c r="N291" s="508"/>
      <c r="O291" s="508"/>
      <c r="P291" s="395"/>
      <c r="Q291" s="395"/>
      <c r="R291" s="395"/>
      <c r="S291" s="395"/>
      <c r="T291" s="395"/>
      <c r="U291" s="255" t="s">
        <v>574</v>
      </c>
      <c r="V291" s="551" t="s">
        <v>300</v>
      </c>
      <c r="W291" s="542" t="str">
        <f t="shared" ref="W291:W292" si="475">X291&amp;"+"&amp;K291&amp;IF(L291="","",CONCATENATE(L291,M291,N291,O291))&amp;" "&amp;U291</f>
        <v>RS0001_8+LA NA-</v>
      </c>
      <c r="X291" s="552" t="str">
        <f>I291&amp;TEXT(J291,"0000")&amp;"_"&amp;LEFT(Control!$D$22,LEN(Control!$D$22)-2)</f>
        <v>RS0001_8</v>
      </c>
      <c r="Y291" s="552" t="s">
        <v>433</v>
      </c>
      <c r="Z291" s="552" t="str">
        <f>U291</f>
        <v>NA-</v>
      </c>
      <c r="AA291" s="552"/>
      <c r="AB291" s="552">
        <v>1</v>
      </c>
      <c r="AC291" s="552">
        <v>1</v>
      </c>
      <c r="AD291" s="552">
        <v>1</v>
      </c>
      <c r="AE291" s="552">
        <v>1</v>
      </c>
      <c r="AF291" s="552">
        <v>1</v>
      </c>
      <c r="AG291" s="542" t="s">
        <v>561</v>
      </c>
      <c r="AH291" s="552">
        <v>0</v>
      </c>
      <c r="AI291" s="552">
        <v>0</v>
      </c>
      <c r="AJ291" s="552">
        <v>1</v>
      </c>
      <c r="AK291" s="552">
        <v>1</v>
      </c>
      <c r="AL291" s="552">
        <v>1</v>
      </c>
      <c r="AM291" s="552">
        <v>0</v>
      </c>
      <c r="AN291" s="552">
        <v>0</v>
      </c>
      <c r="AO291" s="552">
        <v>1</v>
      </c>
      <c r="AP291" s="552">
        <v>1</v>
      </c>
      <c r="AQ291" s="552">
        <v>1</v>
      </c>
      <c r="AR291" s="552">
        <v>1</v>
      </c>
      <c r="AS291" s="552">
        <v>1</v>
      </c>
      <c r="AT291" s="552">
        <v>1</v>
      </c>
      <c r="AU291" s="552">
        <v>1</v>
      </c>
      <c r="AV291" s="553" t="str">
        <f>IF(H291="YES",IF($AV$2="Y","'"&amp;INDEX('Structure Groups'!$C$12:$C$14,MATCH($B$5,'Structure Groups'!$B$12:$B$14,0),1)&amp;"'","'"&amp;INDEX('Structure Groups'!$C$16:$C$18,MATCH($B$5,'Structure Groups'!$B$16:$B$18,0),1)&amp;"'"),IF($AV$2="Y","'All'","'Stop'"))</f>
        <v>'Stop'</v>
      </c>
      <c r="AW291" s="552" t="s">
        <v>562</v>
      </c>
      <c r="AX291" s="552"/>
      <c r="AY291" s="552" t="str">
        <f t="shared" si="474"/>
        <v>Yes</v>
      </c>
      <c r="AZ291" s="554" t="str">
        <f>IF($AY291="No","",IF($L291="A","Ahead Spans","Back Spans"))</f>
        <v>Ahead Spans</v>
      </c>
      <c r="BA291" s="554" t="str">
        <f>IF(AZ291="","","Broken Wire (# Broken Subconductors)")</f>
        <v>Broken Wire (# Broken Subconductors)</v>
      </c>
      <c r="BB291" s="552">
        <v>4</v>
      </c>
      <c r="BC291" s="554"/>
      <c r="BD291" s="554"/>
      <c r="BE291" s="552"/>
      <c r="BF291" s="554" t="str">
        <f t="shared" si="403"/>
        <v/>
      </c>
      <c r="BG291" s="554" t="str">
        <f>IF(BF291="","","% Wire Ice")</f>
        <v/>
      </c>
      <c r="BH291" s="552" t="str">
        <f>IF(BF291="","",40)</f>
        <v/>
      </c>
      <c r="BI291" s="554" t="str">
        <f>IF($N291="","",$N291&amp;":1:"&amp;IF($L291="A","Back","Ahead"))</f>
        <v/>
      </c>
      <c r="BJ291" s="554" t="str">
        <f>IF(BI291="","","% Wire Ice")</f>
        <v/>
      </c>
      <c r="BK291" s="552" t="str">
        <f>IF(BH291="","",70)</f>
        <v/>
      </c>
      <c r="BL291" s="554" t="str">
        <f>IF($O291="","",$O291&amp;":1:"&amp;IF($L291="A","Ahead","Back"))</f>
        <v/>
      </c>
      <c r="BM291" s="554" t="str">
        <f>IF(BL291="","","% Wire Ice")</f>
        <v/>
      </c>
      <c r="BN291" s="552" t="str">
        <f>IF(BL291="","",40)</f>
        <v/>
      </c>
      <c r="BO291" s="554" t="str">
        <f>IF($O291="","",$O291&amp;":1:"&amp;IF($L291="A","Back","Ahead"))</f>
        <v/>
      </c>
      <c r="BP291" s="554" t="str">
        <f>IF(BO291="","","% Wire Ice")</f>
        <v/>
      </c>
      <c r="BQ291" s="552" t="str">
        <f>IF(BN291="","",70)</f>
        <v/>
      </c>
      <c r="BR291" s="554"/>
      <c r="BS291" s="554"/>
      <c r="BT291" s="554"/>
      <c r="BU291" s="554"/>
      <c r="BV291" s="554"/>
      <c r="BW291" s="554"/>
      <c r="BX291" s="554"/>
      <c r="BY291" s="554"/>
      <c r="BZ291" s="554"/>
      <c r="CA291" s="554"/>
      <c r="CB291" s="554"/>
      <c r="CC291" s="554"/>
      <c r="CD291" s="554"/>
      <c r="CE291" s="554"/>
      <c r="CF291" s="554"/>
      <c r="CG291" s="554"/>
      <c r="CH291" s="554"/>
      <c r="CI291" s="554"/>
      <c r="CJ291" s="554"/>
      <c r="CK291" s="554"/>
      <c r="CL291" s="554"/>
      <c r="CM291" s="554"/>
      <c r="CN291" s="554"/>
      <c r="CO291" s="554"/>
      <c r="CP291" s="554"/>
      <c r="CQ291" s="554"/>
      <c r="CR291" s="554"/>
      <c r="CS291" s="554"/>
      <c r="CT291" s="554"/>
      <c r="CU291" s="554"/>
      <c r="CV291" s="554"/>
      <c r="CW291" s="554"/>
      <c r="CX291" s="554"/>
      <c r="CY291" s="554"/>
      <c r="CZ291" s="554"/>
      <c r="DA291" s="554"/>
      <c r="DB291" s="554"/>
      <c r="DC291" s="554"/>
      <c r="DD291" s="554"/>
      <c r="DE291" s="534"/>
      <c r="DF291" s="534"/>
      <c r="DG291" s="534"/>
    </row>
    <row r="292" spans="1:111" ht="15" x14ac:dyDescent="0.25">
      <c r="A292" s="549">
        <f>IFERROR(IF(INDEX('Weather Cases'!$E$10:$E$94,MATCH('Load Criteria'!X292,'Weather Cases'!$H$10:$H$94,0),1)=1,1,"-"),"-")</f>
        <v>1</v>
      </c>
      <c r="B292" s="555" t="s">
        <v>558</v>
      </c>
      <c r="C292" s="556" t="str">
        <f>IF('Weather Cases'!$E$44=0,"","DC/SC")</f>
        <v>DC/SC</v>
      </c>
      <c r="D292" s="555" t="s">
        <v>579</v>
      </c>
      <c r="E292" s="556" t="s">
        <v>558</v>
      </c>
      <c r="F292" s="556" t="s">
        <v>22</v>
      </c>
      <c r="G292" s="556" t="str">
        <f>IFERROR(IF(MID('Load Criteria'!X292,FIND("_",'Load Criteria'!X292,1)+1,1)=LEFT(Control!$D$23,1),"YES","-"),"-")</f>
        <v>-</v>
      </c>
      <c r="H292" s="549" t="s">
        <v>22</v>
      </c>
      <c r="I292" s="557" t="s">
        <v>331</v>
      </c>
      <c r="J292" s="550">
        <f>Control!$D$25</f>
        <v>1</v>
      </c>
      <c r="K292" s="508" t="s">
        <v>569</v>
      </c>
      <c r="L292" s="508" t="s">
        <v>40</v>
      </c>
      <c r="M292" s="508"/>
      <c r="N292" s="508"/>
      <c r="O292" s="508"/>
      <c r="P292" s="395"/>
      <c r="Q292" s="395"/>
      <c r="R292" s="395"/>
      <c r="S292" s="395"/>
      <c r="T292" s="395"/>
      <c r="U292" s="255" t="s">
        <v>574</v>
      </c>
      <c r="V292" s="551" t="s">
        <v>300</v>
      </c>
      <c r="W292" s="542" t="str">
        <f t="shared" si="475"/>
        <v>RS0001_8+LB NA-</v>
      </c>
      <c r="X292" s="552" t="str">
        <f>I292&amp;TEXT(J292,"0000")&amp;"_"&amp;LEFT(Control!$D$22,LEN(Control!$D$22)-2)</f>
        <v>RS0001_8</v>
      </c>
      <c r="Y292" s="552" t="s">
        <v>433</v>
      </c>
      <c r="Z292" s="552" t="str">
        <f>U292</f>
        <v>NA-</v>
      </c>
      <c r="AA292" s="552"/>
      <c r="AB292" s="552">
        <v>1</v>
      </c>
      <c r="AC292" s="552">
        <v>1</v>
      </c>
      <c r="AD292" s="552">
        <v>1</v>
      </c>
      <c r="AE292" s="552">
        <v>1</v>
      </c>
      <c r="AF292" s="552">
        <v>1</v>
      </c>
      <c r="AG292" s="542" t="s">
        <v>561</v>
      </c>
      <c r="AH292" s="552">
        <v>0</v>
      </c>
      <c r="AI292" s="552">
        <v>0</v>
      </c>
      <c r="AJ292" s="552">
        <v>1</v>
      </c>
      <c r="AK292" s="552">
        <v>1</v>
      </c>
      <c r="AL292" s="552">
        <v>1</v>
      </c>
      <c r="AM292" s="552">
        <v>0</v>
      </c>
      <c r="AN292" s="552">
        <v>0</v>
      </c>
      <c r="AO292" s="552">
        <v>1</v>
      </c>
      <c r="AP292" s="552">
        <v>1</v>
      </c>
      <c r="AQ292" s="552">
        <v>1</v>
      </c>
      <c r="AR292" s="552">
        <v>1</v>
      </c>
      <c r="AS292" s="552">
        <v>1</v>
      </c>
      <c r="AT292" s="552">
        <v>1</v>
      </c>
      <c r="AU292" s="552">
        <v>1</v>
      </c>
      <c r="AV292" s="553" t="str">
        <f>IF(H292="YES",IF($AV$2="Y","'"&amp;INDEX('Structure Groups'!$C$12:$C$14,MATCH($B$5,'Structure Groups'!$B$12:$B$14,0),1)&amp;"'","'"&amp;INDEX('Structure Groups'!$C$16:$C$18,MATCH($B$5,'Structure Groups'!$B$16:$B$18,0),1)&amp;"'"),IF($AV$2="Y","'All'","'Stop'"))</f>
        <v>'Stop'</v>
      </c>
      <c r="AW292" s="552" t="s">
        <v>562</v>
      </c>
      <c r="AX292" s="552"/>
      <c r="AY292" s="552" t="str">
        <f t="shared" si="474"/>
        <v>Yes</v>
      </c>
      <c r="AZ292" s="554" t="str">
        <f>IF($AY292="No","",IF($L292="A","Ahead Spans","Back Spans"))</f>
        <v>Back Spans</v>
      </c>
      <c r="BA292" s="554" t="str">
        <f>IF(AZ292="","","Broken Wire (# Broken Subconductors)")</f>
        <v>Broken Wire (# Broken Subconductors)</v>
      </c>
      <c r="BB292" s="552">
        <v>4</v>
      </c>
      <c r="BC292" s="554"/>
      <c r="BD292" s="554"/>
      <c r="BE292" s="552"/>
      <c r="BF292" s="554" t="str">
        <f t="shared" si="403"/>
        <v/>
      </c>
      <c r="BG292" s="554" t="str">
        <f>IF(BF292="","","% Wire Ice")</f>
        <v/>
      </c>
      <c r="BH292" s="552" t="str">
        <f>IF(BF292="","",40)</f>
        <v/>
      </c>
      <c r="BI292" s="554" t="str">
        <f>IF($N292="","",$N292&amp;":1:"&amp;IF($L292="A","Back","Ahead"))</f>
        <v/>
      </c>
      <c r="BJ292" s="554" t="str">
        <f>IF(BI292="","","% Wire Ice")</f>
        <v/>
      </c>
      <c r="BK292" s="552" t="str">
        <f>IF(BH292="","",70)</f>
        <v/>
      </c>
      <c r="BL292" s="554" t="str">
        <f>IF($O292="","",$O292&amp;":1:"&amp;IF($L292="A","Ahead","Back"))</f>
        <v/>
      </c>
      <c r="BM292" s="554" t="str">
        <f>IF(BL292="","","% Wire Ice")</f>
        <v/>
      </c>
      <c r="BN292" s="552" t="str">
        <f>IF(BL292="","",40)</f>
        <v/>
      </c>
      <c r="BO292" s="554" t="str">
        <f>IF($O292="","",$O292&amp;":1:"&amp;IF($L292="A","Back","Ahead"))</f>
        <v/>
      </c>
      <c r="BP292" s="554" t="str">
        <f>IF(BO292="","","% Wire Ice")</f>
        <v/>
      </c>
      <c r="BQ292" s="552" t="str">
        <f>IF(BN292="","",70)</f>
        <v/>
      </c>
      <c r="BR292" s="554"/>
      <c r="BS292" s="554"/>
      <c r="BT292" s="554"/>
      <c r="BU292" s="554"/>
      <c r="BV292" s="554"/>
      <c r="BW292" s="554"/>
      <c r="BX292" s="554"/>
      <c r="BY292" s="554"/>
      <c r="BZ292" s="554"/>
      <c r="CA292" s="554"/>
      <c r="CB292" s="554"/>
      <c r="CC292" s="554"/>
      <c r="CD292" s="554"/>
      <c r="CE292" s="554"/>
      <c r="CF292" s="554"/>
      <c r="CG292" s="554"/>
      <c r="CH292" s="554"/>
      <c r="CI292" s="554"/>
      <c r="CJ292" s="554"/>
      <c r="CK292" s="554"/>
      <c r="CL292" s="554"/>
      <c r="CM292" s="554"/>
      <c r="CN292" s="554"/>
      <c r="CO292" s="554"/>
      <c r="CP292" s="554"/>
      <c r="CQ292" s="554"/>
      <c r="CR292" s="554"/>
      <c r="CS292" s="554"/>
      <c r="CT292" s="554"/>
      <c r="CU292" s="554"/>
      <c r="CV292" s="554"/>
      <c r="CW292" s="554"/>
      <c r="CX292" s="554"/>
      <c r="CY292" s="554"/>
      <c r="CZ292" s="554"/>
      <c r="DA292" s="554"/>
      <c r="DB292" s="554"/>
      <c r="DC292" s="554"/>
      <c r="DD292" s="554"/>
      <c r="DE292" s="534"/>
      <c r="DF292" s="534"/>
      <c r="DG292" s="534"/>
    </row>
    <row r="293" spans="1:111" ht="15" x14ac:dyDescent="0.25">
      <c r="A293" s="549">
        <f>IFERROR(IF(INDEX('Weather Cases'!$E$10:$E$94,MATCH('Load Criteria'!X293,'Weather Cases'!$H$10:$H$94,0),1)=1,1,"-"),"-")</f>
        <v>1</v>
      </c>
      <c r="B293" s="555" t="s">
        <v>558</v>
      </c>
      <c r="C293" s="556" t="str">
        <f>IF('Weather Cases'!$E$44=0,"","DC/SC")</f>
        <v>DC/SC</v>
      </c>
      <c r="D293" s="555" t="s">
        <v>579</v>
      </c>
      <c r="E293" s="556">
        <v>1</v>
      </c>
      <c r="F293" s="556" t="s">
        <v>22</v>
      </c>
      <c r="G293" s="556" t="str">
        <f>IFERROR(IF(MID('Load Criteria'!X293,FIND("_",'Load Criteria'!X293,1)+1,1)=LEFT(Control!$D$23,1),"YES","-"),"-")</f>
        <v>-</v>
      </c>
      <c r="H293" s="549" t="s">
        <v>22</v>
      </c>
      <c r="I293" s="557" t="s">
        <v>331</v>
      </c>
      <c r="J293" s="550">
        <f>Control!$D$25</f>
        <v>1</v>
      </c>
      <c r="K293" s="508" t="s">
        <v>571</v>
      </c>
      <c r="L293" s="508" t="s">
        <v>24</v>
      </c>
      <c r="M293" s="508">
        <v>1</v>
      </c>
      <c r="N293" s="508"/>
      <c r="O293" s="508"/>
      <c r="P293" s="395"/>
      <c r="Q293" s="395"/>
      <c r="R293" s="395"/>
      <c r="S293" s="395"/>
      <c r="T293" s="395"/>
      <c r="U293" s="255" t="s">
        <v>568</v>
      </c>
      <c r="V293" s="551" t="s">
        <v>300</v>
      </c>
      <c r="W293" s="542" t="str">
        <f t="shared" si="398"/>
        <v>RS0001_8+TA1 NA+</v>
      </c>
      <c r="X293" s="552" t="str">
        <f>I293&amp;TEXT(J293,"0000")&amp;"_"&amp;LEFT(Control!$D$22,LEN(Control!$D$22)-2)</f>
        <v>RS0001_8</v>
      </c>
      <c r="Y293" s="552" t="s">
        <v>433</v>
      </c>
      <c r="Z293" s="552" t="str">
        <f>U293</f>
        <v>NA+</v>
      </c>
      <c r="AA293" s="552"/>
      <c r="AB293" s="552">
        <v>1</v>
      </c>
      <c r="AC293" s="552">
        <v>1</v>
      </c>
      <c r="AD293" s="552">
        <v>1</v>
      </c>
      <c r="AE293" s="552">
        <v>1</v>
      </c>
      <c r="AF293" s="552">
        <v>1</v>
      </c>
      <c r="AG293" s="542" t="s">
        <v>561</v>
      </c>
      <c r="AH293" s="552">
        <v>0</v>
      </c>
      <c r="AI293" s="552">
        <v>0</v>
      </c>
      <c r="AJ293" s="552">
        <v>1</v>
      </c>
      <c r="AK293" s="552">
        <v>1</v>
      </c>
      <c r="AL293" s="552">
        <v>1</v>
      </c>
      <c r="AM293" s="552">
        <v>0</v>
      </c>
      <c r="AN293" s="552">
        <v>0</v>
      </c>
      <c r="AO293" s="552">
        <v>1</v>
      </c>
      <c r="AP293" s="552">
        <v>1</v>
      </c>
      <c r="AQ293" s="552">
        <v>1</v>
      </c>
      <c r="AR293" s="552">
        <v>1</v>
      </c>
      <c r="AS293" s="552">
        <v>1</v>
      </c>
      <c r="AT293" s="552">
        <v>1</v>
      </c>
      <c r="AU293" s="552">
        <v>1</v>
      </c>
      <c r="AV293" s="592" t="s">
        <v>1132</v>
      </c>
      <c r="AW293" s="552" t="s">
        <v>562</v>
      </c>
      <c r="AX293" s="552"/>
      <c r="AY293" s="552" t="str">
        <f t="shared" si="474"/>
        <v>Yes</v>
      </c>
      <c r="AZ293" s="554" t="str">
        <f>IF($M293="","",$M293&amp;":1:"&amp;IF($L293="A","Ahead","Back"))</f>
        <v>1:1:Ahead</v>
      </c>
      <c r="BA293" s="554" t="str">
        <f>IF(AZ293="","","Broken Wire (# Broken Subconductors)")</f>
        <v>Broken Wire (# Broken Subconductors)</v>
      </c>
      <c r="BB293" s="552">
        <f>IF(AZ293="","",4)</f>
        <v>4</v>
      </c>
      <c r="BC293" s="554" t="str">
        <f>IF($M293="","",$M293+10&amp;":1:"&amp;IF($L293="A","Ahead","Back"))</f>
        <v>11:1:Ahead</v>
      </c>
      <c r="BD293" s="554" t="str">
        <f>IF(BC293="","","Broken Wire (# Broken Subconductors)")</f>
        <v>Broken Wire (# Broken Subconductors)</v>
      </c>
      <c r="BE293" s="552">
        <f>IF(BC293="","",4)</f>
        <v>4</v>
      </c>
      <c r="BF293" s="554" t="str">
        <f t="shared" si="403"/>
        <v/>
      </c>
      <c r="BG293" s="554" t="str">
        <f>IF(BF293="","","Broken Wire (# Broken Subconductors)")</f>
        <v/>
      </c>
      <c r="BH293" s="552" t="str">
        <f>IF(BF293="","",4)</f>
        <v/>
      </c>
      <c r="BI293" s="554" t="str">
        <f>IF($N293="","",$N293+10&amp;":1:"&amp;IF($L293="A","Ahead","Back"))</f>
        <v/>
      </c>
      <c r="BJ293" s="554" t="str">
        <f>IF(BI293="","","Broken Wire (# Broken Subconductors)")</f>
        <v/>
      </c>
      <c r="BK293" s="552" t="str">
        <f>IF(BI293="","",4)</f>
        <v/>
      </c>
      <c r="BL293" s="554" t="str">
        <f>IF($O293="","",$O293&amp;":1:"&amp;IF($L293="A","Ahead","Back"))</f>
        <v/>
      </c>
      <c r="BM293" s="554" t="str">
        <f>IF(BL293="","","Broken Wire (# Broken Subconductors)")</f>
        <v/>
      </c>
      <c r="BN293" s="552" t="str">
        <f>IF(BL293="","",4)</f>
        <v/>
      </c>
      <c r="BO293" s="554" t="str">
        <f>IF($O293="","",$O293+10&amp;":1:"&amp;IF($L293="A","Ahead","Back"))</f>
        <v/>
      </c>
      <c r="BP293" s="554" t="str">
        <f>IF(BO293="","","Broken Wire (# Broken Subconductors)")</f>
        <v/>
      </c>
      <c r="BQ293" s="552" t="str">
        <f>IF(BO293="","",4)</f>
        <v/>
      </c>
      <c r="BR293" s="554"/>
      <c r="BS293" s="554"/>
      <c r="BT293" s="554"/>
      <c r="BU293" s="554"/>
      <c r="BV293" s="554"/>
      <c r="BW293" s="554"/>
      <c r="BX293" s="554"/>
      <c r="BY293" s="554"/>
      <c r="BZ293" s="554"/>
      <c r="CA293" s="554"/>
      <c r="CB293" s="554"/>
      <c r="CC293" s="554"/>
      <c r="CD293" s="554"/>
      <c r="CE293" s="554"/>
      <c r="CF293" s="554"/>
      <c r="CG293" s="554"/>
      <c r="CH293" s="554"/>
      <c r="CI293" s="554"/>
      <c r="CJ293" s="554"/>
      <c r="CK293" s="554"/>
      <c r="CL293" s="554"/>
      <c r="CM293" s="554"/>
      <c r="CN293" s="554"/>
      <c r="CO293" s="554"/>
      <c r="CP293" s="554"/>
      <c r="CQ293" s="554"/>
      <c r="CR293" s="554"/>
      <c r="CS293" s="554"/>
      <c r="CT293" s="554"/>
      <c r="CU293" s="554"/>
      <c r="CV293" s="554"/>
      <c r="CW293" s="554"/>
      <c r="CX293" s="554"/>
      <c r="CY293" s="554"/>
      <c r="CZ293" s="554"/>
      <c r="DA293" s="554"/>
      <c r="DB293" s="554"/>
      <c r="DC293" s="554"/>
      <c r="DD293" s="554"/>
      <c r="DE293" s="534"/>
      <c r="DF293" s="534"/>
      <c r="DG293" s="534"/>
    </row>
    <row r="294" spans="1:111" ht="15" x14ac:dyDescent="0.25">
      <c r="A294" s="549">
        <f>IFERROR(IF(INDEX('Weather Cases'!$E$10:$E$94,MATCH('Load Criteria'!X294,'Weather Cases'!$H$10:$H$94,0),1)=1,1,"-"),"-")</f>
        <v>1</v>
      </c>
      <c r="B294" s="555" t="s">
        <v>558</v>
      </c>
      <c r="C294" s="556" t="str">
        <f>IF('Weather Cases'!$E$44=0,"","DC/SC")</f>
        <v>DC/SC</v>
      </c>
      <c r="D294" s="555" t="s">
        <v>579</v>
      </c>
      <c r="E294" s="556">
        <v>1</v>
      </c>
      <c r="F294" s="556" t="s">
        <v>22</v>
      </c>
      <c r="G294" s="556" t="str">
        <f>IFERROR(IF(MID('Load Criteria'!X294,FIND("_",'Load Criteria'!X294,1)+1,1)=LEFT(Control!$D$23,1),"YES","-"),"-")</f>
        <v>-</v>
      </c>
      <c r="H294" s="549" t="s">
        <v>22</v>
      </c>
      <c r="I294" s="557" t="s">
        <v>331</v>
      </c>
      <c r="J294" s="550">
        <f>Control!$D$25</f>
        <v>1</v>
      </c>
      <c r="K294" s="508" t="s">
        <v>571</v>
      </c>
      <c r="L294" s="508" t="s">
        <v>40</v>
      </c>
      <c r="M294" s="508">
        <v>1</v>
      </c>
      <c r="N294" s="508"/>
      <c r="O294" s="508"/>
      <c r="P294" s="395"/>
      <c r="Q294" s="395"/>
      <c r="R294" s="395"/>
      <c r="S294" s="395"/>
      <c r="T294" s="395"/>
      <c r="U294" s="255" t="s">
        <v>568</v>
      </c>
      <c r="V294" s="551"/>
      <c r="W294" s="542" t="str">
        <f t="shared" si="398"/>
        <v>RS0001_8+TB1 NA+</v>
      </c>
      <c r="X294" s="552" t="str">
        <f>I294&amp;TEXT(J294,"0000")&amp;"_"&amp;LEFT(Control!$D$22,LEN(Control!$D$22)-2)</f>
        <v>RS0001_8</v>
      </c>
      <c r="Y294" s="552" t="s">
        <v>433</v>
      </c>
      <c r="Z294" s="552" t="str">
        <f t="shared" ref="Z294:Z356" si="476">U294</f>
        <v>NA+</v>
      </c>
      <c r="AA294" s="552"/>
      <c r="AB294" s="552">
        <v>1</v>
      </c>
      <c r="AC294" s="552">
        <v>1</v>
      </c>
      <c r="AD294" s="552">
        <v>1</v>
      </c>
      <c r="AE294" s="552">
        <v>1</v>
      </c>
      <c r="AF294" s="552">
        <v>1</v>
      </c>
      <c r="AG294" s="542" t="s">
        <v>561</v>
      </c>
      <c r="AH294" s="552">
        <v>0</v>
      </c>
      <c r="AI294" s="552">
        <v>0</v>
      </c>
      <c r="AJ294" s="552">
        <v>1</v>
      </c>
      <c r="AK294" s="552">
        <v>1</v>
      </c>
      <c r="AL294" s="552">
        <v>1</v>
      </c>
      <c r="AM294" s="552">
        <v>0</v>
      </c>
      <c r="AN294" s="552">
        <v>0</v>
      </c>
      <c r="AO294" s="552">
        <v>1</v>
      </c>
      <c r="AP294" s="552">
        <v>1</v>
      </c>
      <c r="AQ294" s="552">
        <v>1</v>
      </c>
      <c r="AR294" s="552">
        <v>1</v>
      </c>
      <c r="AS294" s="552">
        <v>1</v>
      </c>
      <c r="AT294" s="552">
        <v>1</v>
      </c>
      <c r="AU294" s="552">
        <v>1</v>
      </c>
      <c r="AV294" s="592" t="s">
        <v>1132</v>
      </c>
      <c r="AW294" s="552" t="s">
        <v>562</v>
      </c>
      <c r="AX294" s="552"/>
      <c r="AY294" s="552" t="str">
        <f t="shared" si="474"/>
        <v>Yes</v>
      </c>
      <c r="AZ294" s="554" t="str">
        <f t="shared" ref="AZ294:AZ356" si="477">IF($M294="","",$M294&amp;":1:"&amp;IF($L294="A","Ahead","Back"))</f>
        <v>1:1:Back</v>
      </c>
      <c r="BA294" s="554" t="str">
        <f t="shared" ref="BA294:BA356" si="478">IF(AZ294="","","Broken Wire (# Broken Subconductors)")</f>
        <v>Broken Wire (# Broken Subconductors)</v>
      </c>
      <c r="BB294" s="552">
        <f t="shared" ref="BB294:BB356" si="479">IF(AZ294="","",4)</f>
        <v>4</v>
      </c>
      <c r="BC294" s="554" t="str">
        <f t="shared" ref="BC294:BC356" si="480">IF($M294="","",$M294+10&amp;":1:"&amp;IF($L294="A","Ahead","Back"))</f>
        <v>11:1:Back</v>
      </c>
      <c r="BD294" s="554" t="str">
        <f t="shared" ref="BD294:BD356" si="481">IF(BC294="","","Broken Wire (# Broken Subconductors)")</f>
        <v>Broken Wire (# Broken Subconductors)</v>
      </c>
      <c r="BE294" s="552">
        <f t="shared" ref="BE294:BE356" si="482">IF(BC294="","",4)</f>
        <v>4</v>
      </c>
      <c r="BF294" s="554" t="str">
        <f t="shared" si="403"/>
        <v/>
      </c>
      <c r="BG294" s="554" t="str">
        <f t="shared" ref="BG294:BG356" si="483">IF(BF294="","","Broken Wire (# Broken Subconductors)")</f>
        <v/>
      </c>
      <c r="BH294" s="552" t="str">
        <f t="shared" ref="BH294:BH356" si="484">IF(BF294="","",4)</f>
        <v/>
      </c>
      <c r="BI294" s="554" t="str">
        <f t="shared" ref="BI294:BI356" si="485">IF($N294="","",$N294+10&amp;":1:"&amp;IF($L294="A","Ahead","Back"))</f>
        <v/>
      </c>
      <c r="BJ294" s="554" t="str">
        <f t="shared" ref="BJ294:BJ356" si="486">IF(BI294="","","Broken Wire (# Broken Subconductors)")</f>
        <v/>
      </c>
      <c r="BK294" s="552" t="str">
        <f t="shared" ref="BK294:BK356" si="487">IF(BI294="","",4)</f>
        <v/>
      </c>
      <c r="BL294" s="554" t="str">
        <f t="shared" ref="BL294:BL356" si="488">IF($O294="","",$O294&amp;":1:"&amp;IF($L294="A","Ahead","Back"))</f>
        <v/>
      </c>
      <c r="BM294" s="554" t="str">
        <f t="shared" ref="BM294:BM356" si="489">IF(BL294="","","Broken Wire (# Broken Subconductors)")</f>
        <v/>
      </c>
      <c r="BN294" s="552" t="str">
        <f t="shared" ref="BN294:BN356" si="490">IF(BL294="","",4)</f>
        <v/>
      </c>
      <c r="BO294" s="554" t="str">
        <f t="shared" ref="BO294:BO356" si="491">IF($O294="","",$O294+10&amp;":1:"&amp;IF($L294="A","Ahead","Back"))</f>
        <v/>
      </c>
      <c r="BP294" s="554" t="str">
        <f t="shared" ref="BP294:BP356" si="492">IF(BO294="","","Broken Wire (# Broken Subconductors)")</f>
        <v/>
      </c>
      <c r="BQ294" s="552" t="str">
        <f t="shared" ref="BQ294:BQ356" si="493">IF(BO294="","",4)</f>
        <v/>
      </c>
      <c r="BR294" s="554"/>
      <c r="BS294" s="554"/>
      <c r="BT294" s="554"/>
      <c r="BU294" s="554"/>
      <c r="BV294" s="554"/>
      <c r="BW294" s="554"/>
      <c r="BX294" s="554"/>
      <c r="BY294" s="554"/>
      <c r="BZ294" s="554"/>
      <c r="CA294" s="554"/>
      <c r="CB294" s="554"/>
      <c r="CC294" s="554"/>
      <c r="CD294" s="554"/>
      <c r="CE294" s="554"/>
      <c r="CF294" s="554"/>
      <c r="CG294" s="554"/>
      <c r="CH294" s="554"/>
      <c r="CI294" s="554"/>
      <c r="CJ294" s="554"/>
      <c r="CK294" s="554"/>
      <c r="CL294" s="554"/>
      <c r="CM294" s="554"/>
      <c r="CN294" s="554"/>
      <c r="CO294" s="554"/>
      <c r="CP294" s="554"/>
      <c r="CQ294" s="554"/>
      <c r="CR294" s="554"/>
      <c r="CS294" s="554"/>
      <c r="CT294" s="554"/>
      <c r="CU294" s="554"/>
      <c r="CV294" s="554"/>
      <c r="CW294" s="554"/>
      <c r="CX294" s="554"/>
      <c r="CY294" s="554"/>
      <c r="CZ294" s="554"/>
      <c r="DA294" s="554"/>
      <c r="DB294" s="554"/>
      <c r="DC294" s="554"/>
      <c r="DD294" s="554"/>
      <c r="DE294" s="534"/>
      <c r="DF294" s="534"/>
      <c r="DG294" s="534"/>
    </row>
    <row r="295" spans="1:111" ht="15" x14ac:dyDescent="0.25">
      <c r="A295" s="549">
        <f>IFERROR(IF(INDEX('Weather Cases'!$E$10:$E$94,MATCH('Load Criteria'!X295,'Weather Cases'!$H$10:$H$94,0),1)=1,1,"-"),"-")</f>
        <v>1</v>
      </c>
      <c r="B295" s="555" t="s">
        <v>558</v>
      </c>
      <c r="C295" s="556" t="str">
        <f>IF('Weather Cases'!$E$44=0,"","DC/SC")</f>
        <v>DC/SC</v>
      </c>
      <c r="D295" s="555" t="s">
        <v>579</v>
      </c>
      <c r="E295" s="556">
        <v>1</v>
      </c>
      <c r="F295" s="556" t="s">
        <v>22</v>
      </c>
      <c r="G295" s="556" t="str">
        <f>IFERROR(IF(MID('Load Criteria'!X295,FIND("_",'Load Criteria'!X295,1)+1,1)=LEFT(Control!$D$23,1),"YES","-"),"-")</f>
        <v>-</v>
      </c>
      <c r="H295" s="549" t="s">
        <v>22</v>
      </c>
      <c r="I295" s="557" t="s">
        <v>331</v>
      </c>
      <c r="J295" s="550">
        <f>Control!$D$25</f>
        <v>1</v>
      </c>
      <c r="K295" s="508" t="s">
        <v>571</v>
      </c>
      <c r="L295" s="508" t="s">
        <v>24</v>
      </c>
      <c r="M295" s="508">
        <v>2</v>
      </c>
      <c r="N295" s="508"/>
      <c r="O295" s="508"/>
      <c r="P295" s="395"/>
      <c r="Q295" s="395"/>
      <c r="R295" s="395"/>
      <c r="S295" s="395"/>
      <c r="T295" s="395"/>
      <c r="U295" s="255" t="s">
        <v>568</v>
      </c>
      <c r="V295" s="551"/>
      <c r="W295" s="542" t="str">
        <f t="shared" si="398"/>
        <v>RS0001_8+TA2 NA+</v>
      </c>
      <c r="X295" s="552" t="str">
        <f>I295&amp;TEXT(J295,"0000")&amp;"_"&amp;LEFT(Control!$D$22,LEN(Control!$D$22)-2)</f>
        <v>RS0001_8</v>
      </c>
      <c r="Y295" s="552" t="s">
        <v>433</v>
      </c>
      <c r="Z295" s="552" t="str">
        <f t="shared" si="476"/>
        <v>NA+</v>
      </c>
      <c r="AA295" s="552"/>
      <c r="AB295" s="552">
        <v>1</v>
      </c>
      <c r="AC295" s="552">
        <v>1</v>
      </c>
      <c r="AD295" s="552">
        <v>1</v>
      </c>
      <c r="AE295" s="552">
        <v>1</v>
      </c>
      <c r="AF295" s="552">
        <v>1</v>
      </c>
      <c r="AG295" s="542" t="s">
        <v>561</v>
      </c>
      <c r="AH295" s="552">
        <v>0</v>
      </c>
      <c r="AI295" s="552">
        <v>0</v>
      </c>
      <c r="AJ295" s="552">
        <v>1</v>
      </c>
      <c r="AK295" s="552">
        <v>1</v>
      </c>
      <c r="AL295" s="552">
        <v>1</v>
      </c>
      <c r="AM295" s="552">
        <v>0</v>
      </c>
      <c r="AN295" s="552">
        <v>0</v>
      </c>
      <c r="AO295" s="552">
        <v>1</v>
      </c>
      <c r="AP295" s="552">
        <v>1</v>
      </c>
      <c r="AQ295" s="552">
        <v>1</v>
      </c>
      <c r="AR295" s="552">
        <v>1</v>
      </c>
      <c r="AS295" s="552">
        <v>1</v>
      </c>
      <c r="AT295" s="552">
        <v>1</v>
      </c>
      <c r="AU295" s="552">
        <v>1</v>
      </c>
      <c r="AV295" s="592" t="s">
        <v>1132</v>
      </c>
      <c r="AW295" s="552" t="s">
        <v>562</v>
      </c>
      <c r="AX295" s="552"/>
      <c r="AY295" s="552" t="str">
        <f t="shared" si="474"/>
        <v>Yes</v>
      </c>
      <c r="AZ295" s="554" t="str">
        <f t="shared" si="477"/>
        <v>2:1:Ahead</v>
      </c>
      <c r="BA295" s="554" t="str">
        <f t="shared" si="478"/>
        <v>Broken Wire (# Broken Subconductors)</v>
      </c>
      <c r="BB295" s="552">
        <f t="shared" si="479"/>
        <v>4</v>
      </c>
      <c r="BC295" s="554" t="str">
        <f t="shared" si="480"/>
        <v>12:1:Ahead</v>
      </c>
      <c r="BD295" s="554" t="str">
        <f t="shared" si="481"/>
        <v>Broken Wire (# Broken Subconductors)</v>
      </c>
      <c r="BE295" s="552">
        <f t="shared" si="482"/>
        <v>4</v>
      </c>
      <c r="BF295" s="554" t="str">
        <f t="shared" si="403"/>
        <v/>
      </c>
      <c r="BG295" s="554" t="str">
        <f t="shared" si="483"/>
        <v/>
      </c>
      <c r="BH295" s="552" t="str">
        <f t="shared" si="484"/>
        <v/>
      </c>
      <c r="BI295" s="554" t="str">
        <f t="shared" si="485"/>
        <v/>
      </c>
      <c r="BJ295" s="554" t="str">
        <f t="shared" si="486"/>
        <v/>
      </c>
      <c r="BK295" s="552" t="str">
        <f t="shared" si="487"/>
        <v/>
      </c>
      <c r="BL295" s="554" t="str">
        <f t="shared" si="488"/>
        <v/>
      </c>
      <c r="BM295" s="554" t="str">
        <f t="shared" si="489"/>
        <v/>
      </c>
      <c r="BN295" s="552" t="str">
        <f t="shared" si="490"/>
        <v/>
      </c>
      <c r="BO295" s="554" t="str">
        <f t="shared" si="491"/>
        <v/>
      </c>
      <c r="BP295" s="554" t="str">
        <f t="shared" si="492"/>
        <v/>
      </c>
      <c r="BQ295" s="552" t="str">
        <f t="shared" si="493"/>
        <v/>
      </c>
      <c r="BR295" s="554"/>
      <c r="BS295" s="554"/>
      <c r="BT295" s="554"/>
      <c r="BU295" s="554"/>
      <c r="BV295" s="554"/>
      <c r="BW295" s="554"/>
      <c r="BX295" s="554"/>
      <c r="BY295" s="554"/>
      <c r="BZ295" s="554"/>
      <c r="CA295" s="554"/>
      <c r="CB295" s="554"/>
      <c r="CC295" s="554"/>
      <c r="CD295" s="554"/>
      <c r="CE295" s="554"/>
      <c r="CF295" s="554"/>
      <c r="CG295" s="554"/>
      <c r="CH295" s="554"/>
      <c r="CI295" s="554"/>
      <c r="CJ295" s="554"/>
      <c r="CK295" s="554"/>
      <c r="CL295" s="554"/>
      <c r="CM295" s="554"/>
      <c r="CN295" s="554"/>
      <c r="CO295" s="554"/>
      <c r="CP295" s="554"/>
      <c r="CQ295" s="554"/>
      <c r="CR295" s="554"/>
      <c r="CS295" s="554"/>
      <c r="CT295" s="554"/>
      <c r="CU295" s="554"/>
      <c r="CV295" s="554"/>
      <c r="CW295" s="554"/>
      <c r="CX295" s="554"/>
      <c r="CY295" s="554"/>
      <c r="CZ295" s="554"/>
      <c r="DA295" s="554"/>
      <c r="DB295" s="554"/>
      <c r="DC295" s="554"/>
      <c r="DD295" s="554"/>
      <c r="DE295" s="534"/>
      <c r="DF295" s="534"/>
      <c r="DG295" s="534"/>
    </row>
    <row r="296" spans="1:111" ht="15" x14ac:dyDescent="0.25">
      <c r="A296" s="549">
        <f>IFERROR(IF(INDEX('Weather Cases'!$E$10:$E$94,MATCH('Load Criteria'!X296,'Weather Cases'!$H$10:$H$94,0),1)=1,1,"-"),"-")</f>
        <v>1</v>
      </c>
      <c r="B296" s="555" t="s">
        <v>558</v>
      </c>
      <c r="C296" s="556" t="str">
        <f>IF('Weather Cases'!$E$44=0,"","DC/SC")</f>
        <v>DC/SC</v>
      </c>
      <c r="D296" s="555" t="s">
        <v>579</v>
      </c>
      <c r="E296" s="556">
        <v>1</v>
      </c>
      <c r="F296" s="556" t="s">
        <v>22</v>
      </c>
      <c r="G296" s="556" t="str">
        <f>IFERROR(IF(MID('Load Criteria'!X296,FIND("_",'Load Criteria'!X296,1)+1,1)=LEFT(Control!$D$23,1),"YES","-"),"-")</f>
        <v>-</v>
      </c>
      <c r="H296" s="549" t="s">
        <v>22</v>
      </c>
      <c r="I296" s="557" t="s">
        <v>331</v>
      </c>
      <c r="J296" s="550">
        <f>Control!$D$25</f>
        <v>1</v>
      </c>
      <c r="K296" s="508" t="s">
        <v>571</v>
      </c>
      <c r="L296" s="508" t="s">
        <v>40</v>
      </c>
      <c r="M296" s="508">
        <v>2</v>
      </c>
      <c r="N296" s="508"/>
      <c r="O296" s="508"/>
      <c r="P296" s="395"/>
      <c r="Q296" s="395"/>
      <c r="R296" s="395"/>
      <c r="S296" s="395"/>
      <c r="T296" s="395"/>
      <c r="U296" s="255" t="s">
        <v>568</v>
      </c>
      <c r="V296" s="551"/>
      <c r="W296" s="542" t="str">
        <f t="shared" ref="W296:W373" si="494">X296&amp;"+"&amp;K296&amp;IF(L296="","",CONCATENATE(L296,M296,N296,O296))&amp;" "&amp;U296</f>
        <v>RS0001_8+TB2 NA+</v>
      </c>
      <c r="X296" s="552" t="str">
        <f>I296&amp;TEXT(J296,"0000")&amp;"_"&amp;LEFT(Control!$D$22,LEN(Control!$D$22)-2)</f>
        <v>RS0001_8</v>
      </c>
      <c r="Y296" s="552" t="s">
        <v>433</v>
      </c>
      <c r="Z296" s="552" t="str">
        <f t="shared" si="476"/>
        <v>NA+</v>
      </c>
      <c r="AA296" s="552"/>
      <c r="AB296" s="552">
        <v>1</v>
      </c>
      <c r="AC296" s="552">
        <v>1</v>
      </c>
      <c r="AD296" s="552">
        <v>1</v>
      </c>
      <c r="AE296" s="552">
        <v>1</v>
      </c>
      <c r="AF296" s="552">
        <v>1</v>
      </c>
      <c r="AG296" s="542" t="s">
        <v>561</v>
      </c>
      <c r="AH296" s="552">
        <v>0</v>
      </c>
      <c r="AI296" s="552">
        <v>0</v>
      </c>
      <c r="AJ296" s="552">
        <v>1</v>
      </c>
      <c r="AK296" s="552">
        <v>1</v>
      </c>
      <c r="AL296" s="552">
        <v>1</v>
      </c>
      <c r="AM296" s="552">
        <v>0</v>
      </c>
      <c r="AN296" s="552">
        <v>0</v>
      </c>
      <c r="AO296" s="552">
        <v>1</v>
      </c>
      <c r="AP296" s="552">
        <v>1</v>
      </c>
      <c r="AQ296" s="552">
        <v>1</v>
      </c>
      <c r="AR296" s="552">
        <v>1</v>
      </c>
      <c r="AS296" s="552">
        <v>1</v>
      </c>
      <c r="AT296" s="552">
        <v>1</v>
      </c>
      <c r="AU296" s="552">
        <v>1</v>
      </c>
      <c r="AV296" s="592" t="s">
        <v>1132</v>
      </c>
      <c r="AW296" s="552" t="s">
        <v>562</v>
      </c>
      <c r="AX296" s="552"/>
      <c r="AY296" s="552" t="str">
        <f t="shared" si="474"/>
        <v>Yes</v>
      </c>
      <c r="AZ296" s="554" t="str">
        <f t="shared" si="477"/>
        <v>2:1:Back</v>
      </c>
      <c r="BA296" s="554" t="str">
        <f t="shared" si="478"/>
        <v>Broken Wire (# Broken Subconductors)</v>
      </c>
      <c r="BB296" s="552">
        <f t="shared" si="479"/>
        <v>4</v>
      </c>
      <c r="BC296" s="554" t="str">
        <f t="shared" si="480"/>
        <v>12:1:Back</v>
      </c>
      <c r="BD296" s="554" t="str">
        <f t="shared" si="481"/>
        <v>Broken Wire (# Broken Subconductors)</v>
      </c>
      <c r="BE296" s="552">
        <f t="shared" si="482"/>
        <v>4</v>
      </c>
      <c r="BF296" s="554" t="str">
        <f t="shared" si="403"/>
        <v/>
      </c>
      <c r="BG296" s="554" t="str">
        <f t="shared" si="483"/>
        <v/>
      </c>
      <c r="BH296" s="552" t="str">
        <f t="shared" si="484"/>
        <v/>
      </c>
      <c r="BI296" s="554" t="str">
        <f t="shared" si="485"/>
        <v/>
      </c>
      <c r="BJ296" s="554" t="str">
        <f t="shared" si="486"/>
        <v/>
      </c>
      <c r="BK296" s="552" t="str">
        <f t="shared" si="487"/>
        <v/>
      </c>
      <c r="BL296" s="554" t="str">
        <f t="shared" si="488"/>
        <v/>
      </c>
      <c r="BM296" s="554" t="str">
        <f t="shared" si="489"/>
        <v/>
      </c>
      <c r="BN296" s="552" t="str">
        <f t="shared" si="490"/>
        <v/>
      </c>
      <c r="BO296" s="554" t="str">
        <f t="shared" si="491"/>
        <v/>
      </c>
      <c r="BP296" s="554" t="str">
        <f t="shared" si="492"/>
        <v/>
      </c>
      <c r="BQ296" s="552" t="str">
        <f t="shared" si="493"/>
        <v/>
      </c>
      <c r="BR296" s="554"/>
      <c r="BS296" s="554"/>
      <c r="BT296" s="554"/>
      <c r="BU296" s="554"/>
      <c r="BV296" s="554"/>
      <c r="BW296" s="554"/>
      <c r="BX296" s="554"/>
      <c r="BY296" s="554"/>
      <c r="BZ296" s="554"/>
      <c r="CA296" s="554"/>
      <c r="CB296" s="554"/>
      <c r="CC296" s="554"/>
      <c r="CD296" s="554"/>
      <c r="CE296" s="554"/>
      <c r="CF296" s="554"/>
      <c r="CG296" s="554"/>
      <c r="CH296" s="554"/>
      <c r="CI296" s="554"/>
      <c r="CJ296" s="554"/>
      <c r="CK296" s="554"/>
      <c r="CL296" s="554"/>
      <c r="CM296" s="554"/>
      <c r="CN296" s="554"/>
      <c r="CO296" s="554"/>
      <c r="CP296" s="554"/>
      <c r="CQ296" s="554"/>
      <c r="CR296" s="554"/>
      <c r="CS296" s="554"/>
      <c r="CT296" s="554"/>
      <c r="CU296" s="554"/>
      <c r="CV296" s="554"/>
      <c r="CW296" s="554"/>
      <c r="CX296" s="554"/>
      <c r="CY296" s="554"/>
      <c r="CZ296" s="554"/>
      <c r="DA296" s="554"/>
      <c r="DB296" s="554"/>
      <c r="DC296" s="554"/>
      <c r="DD296" s="554"/>
      <c r="DE296" s="534"/>
      <c r="DF296" s="534"/>
      <c r="DG296" s="534"/>
    </row>
    <row r="297" spans="1:111" ht="15" x14ac:dyDescent="0.25">
      <c r="A297" s="549">
        <f>IFERROR(IF(INDEX('Weather Cases'!$E$10:$E$94,MATCH('Load Criteria'!X297,'Weather Cases'!$H$10:$H$94,0),1)=1,1,"-"),"-")</f>
        <v>1</v>
      </c>
      <c r="B297" s="555" t="s">
        <v>558</v>
      </c>
      <c r="C297" s="556" t="str">
        <f>IF('Weather Cases'!$E$44=0,"","DC/SC")</f>
        <v>DC/SC</v>
      </c>
      <c r="D297" s="555" t="s">
        <v>579</v>
      </c>
      <c r="E297" s="556">
        <v>1</v>
      </c>
      <c r="F297" s="556" t="s">
        <v>22</v>
      </c>
      <c r="G297" s="556" t="str">
        <f>IFERROR(IF(MID('Load Criteria'!X297,FIND("_",'Load Criteria'!X297,1)+1,1)=LEFT(Control!$D$23,1),"YES","-"),"-")</f>
        <v>-</v>
      </c>
      <c r="H297" s="549" t="s">
        <v>22</v>
      </c>
      <c r="I297" s="557" t="s">
        <v>331</v>
      </c>
      <c r="J297" s="550">
        <f>Control!$D$25</f>
        <v>1</v>
      </c>
      <c r="K297" s="508" t="s">
        <v>571</v>
      </c>
      <c r="L297" s="508" t="s">
        <v>24</v>
      </c>
      <c r="M297" s="508">
        <v>3</v>
      </c>
      <c r="N297" s="508"/>
      <c r="O297" s="508"/>
      <c r="P297" s="395"/>
      <c r="Q297" s="395"/>
      <c r="R297" s="395"/>
      <c r="S297" s="395"/>
      <c r="T297" s="395"/>
      <c r="U297" s="255" t="s">
        <v>568</v>
      </c>
      <c r="V297" s="551"/>
      <c r="W297" s="542" t="str">
        <f t="shared" si="494"/>
        <v>RS0001_8+TA3 NA+</v>
      </c>
      <c r="X297" s="552" t="str">
        <f>I297&amp;TEXT(J297,"0000")&amp;"_"&amp;LEFT(Control!$D$22,LEN(Control!$D$22)-2)</f>
        <v>RS0001_8</v>
      </c>
      <c r="Y297" s="552" t="s">
        <v>433</v>
      </c>
      <c r="Z297" s="552" t="str">
        <f t="shared" si="476"/>
        <v>NA+</v>
      </c>
      <c r="AA297" s="552"/>
      <c r="AB297" s="552">
        <v>1</v>
      </c>
      <c r="AC297" s="552">
        <v>1</v>
      </c>
      <c r="AD297" s="552">
        <v>1</v>
      </c>
      <c r="AE297" s="552">
        <v>1</v>
      </c>
      <c r="AF297" s="552">
        <v>1</v>
      </c>
      <c r="AG297" s="542" t="s">
        <v>561</v>
      </c>
      <c r="AH297" s="552">
        <v>0</v>
      </c>
      <c r="AI297" s="552">
        <v>0</v>
      </c>
      <c r="AJ297" s="552">
        <v>1</v>
      </c>
      <c r="AK297" s="552">
        <v>1</v>
      </c>
      <c r="AL297" s="552">
        <v>1</v>
      </c>
      <c r="AM297" s="552">
        <v>0</v>
      </c>
      <c r="AN297" s="552">
        <v>0</v>
      </c>
      <c r="AO297" s="552">
        <v>1</v>
      </c>
      <c r="AP297" s="552">
        <v>1</v>
      </c>
      <c r="AQ297" s="552">
        <v>1</v>
      </c>
      <c r="AR297" s="552">
        <v>1</v>
      </c>
      <c r="AS297" s="552">
        <v>1</v>
      </c>
      <c r="AT297" s="552">
        <v>1</v>
      </c>
      <c r="AU297" s="552">
        <v>1</v>
      </c>
      <c r="AV297" s="592" t="s">
        <v>1132</v>
      </c>
      <c r="AW297" s="552" t="s">
        <v>562</v>
      </c>
      <c r="AX297" s="552"/>
      <c r="AY297" s="552" t="str">
        <f t="shared" si="474"/>
        <v>Yes</v>
      </c>
      <c r="AZ297" s="554" t="str">
        <f t="shared" si="477"/>
        <v>3:1:Ahead</v>
      </c>
      <c r="BA297" s="554" t="str">
        <f t="shared" si="478"/>
        <v>Broken Wire (# Broken Subconductors)</v>
      </c>
      <c r="BB297" s="552">
        <f t="shared" si="479"/>
        <v>4</v>
      </c>
      <c r="BC297" s="554" t="str">
        <f t="shared" si="480"/>
        <v>13:1:Ahead</v>
      </c>
      <c r="BD297" s="554" t="str">
        <f t="shared" si="481"/>
        <v>Broken Wire (# Broken Subconductors)</v>
      </c>
      <c r="BE297" s="552">
        <f t="shared" si="482"/>
        <v>4</v>
      </c>
      <c r="BF297" s="554" t="str">
        <f t="shared" si="403"/>
        <v/>
      </c>
      <c r="BG297" s="554" t="str">
        <f t="shared" si="483"/>
        <v/>
      </c>
      <c r="BH297" s="552" t="str">
        <f t="shared" si="484"/>
        <v/>
      </c>
      <c r="BI297" s="554" t="str">
        <f t="shared" si="485"/>
        <v/>
      </c>
      <c r="BJ297" s="554" t="str">
        <f t="shared" si="486"/>
        <v/>
      </c>
      <c r="BK297" s="552" t="str">
        <f t="shared" si="487"/>
        <v/>
      </c>
      <c r="BL297" s="554" t="str">
        <f t="shared" si="488"/>
        <v/>
      </c>
      <c r="BM297" s="554" t="str">
        <f t="shared" si="489"/>
        <v/>
      </c>
      <c r="BN297" s="552" t="str">
        <f t="shared" si="490"/>
        <v/>
      </c>
      <c r="BO297" s="554" t="str">
        <f t="shared" si="491"/>
        <v/>
      </c>
      <c r="BP297" s="554" t="str">
        <f t="shared" si="492"/>
        <v/>
      </c>
      <c r="BQ297" s="552" t="str">
        <f t="shared" si="493"/>
        <v/>
      </c>
      <c r="BR297" s="554"/>
      <c r="BS297" s="554"/>
      <c r="BT297" s="554"/>
      <c r="BU297" s="554"/>
      <c r="BV297" s="554"/>
      <c r="BW297" s="554"/>
      <c r="BX297" s="554"/>
      <c r="BY297" s="554"/>
      <c r="BZ297" s="554"/>
      <c r="CA297" s="554"/>
      <c r="CB297" s="554"/>
      <c r="CC297" s="554"/>
      <c r="CD297" s="554"/>
      <c r="CE297" s="554"/>
      <c r="CF297" s="554"/>
      <c r="CG297" s="554"/>
      <c r="CH297" s="554"/>
      <c r="CI297" s="554"/>
      <c r="CJ297" s="554"/>
      <c r="CK297" s="554"/>
      <c r="CL297" s="554"/>
      <c r="CM297" s="554"/>
      <c r="CN297" s="554"/>
      <c r="CO297" s="554"/>
      <c r="CP297" s="554"/>
      <c r="CQ297" s="554"/>
      <c r="CR297" s="554"/>
      <c r="CS297" s="554"/>
      <c r="CT297" s="554"/>
      <c r="CU297" s="554"/>
      <c r="CV297" s="554"/>
      <c r="CW297" s="554"/>
      <c r="CX297" s="554"/>
      <c r="CY297" s="554"/>
      <c r="CZ297" s="554"/>
      <c r="DA297" s="554"/>
      <c r="DB297" s="554"/>
      <c r="DC297" s="554"/>
      <c r="DD297" s="554"/>
      <c r="DE297" s="534"/>
      <c r="DF297" s="534"/>
      <c r="DG297" s="534"/>
    </row>
    <row r="298" spans="1:111" ht="15" x14ac:dyDescent="0.25">
      <c r="A298" s="549">
        <f>IFERROR(IF(INDEX('Weather Cases'!$E$10:$E$94,MATCH('Load Criteria'!X298,'Weather Cases'!$H$10:$H$94,0),1)=1,1,"-"),"-")</f>
        <v>1</v>
      </c>
      <c r="B298" s="555" t="s">
        <v>558</v>
      </c>
      <c r="C298" s="556" t="str">
        <f>IF('Weather Cases'!$E$44=0,"","DC/SC")</f>
        <v>DC/SC</v>
      </c>
      <c r="D298" s="555" t="s">
        <v>579</v>
      </c>
      <c r="E298" s="556">
        <v>1</v>
      </c>
      <c r="F298" s="556" t="s">
        <v>22</v>
      </c>
      <c r="G298" s="556" t="str">
        <f>IFERROR(IF(MID('Load Criteria'!X298,FIND("_",'Load Criteria'!X298,1)+1,1)=LEFT(Control!$D$23,1),"YES","-"),"-")</f>
        <v>-</v>
      </c>
      <c r="H298" s="549" t="s">
        <v>22</v>
      </c>
      <c r="I298" s="557" t="s">
        <v>331</v>
      </c>
      <c r="J298" s="550">
        <f>Control!$D$25</f>
        <v>1</v>
      </c>
      <c r="K298" s="508" t="s">
        <v>571</v>
      </c>
      <c r="L298" s="508" t="s">
        <v>40</v>
      </c>
      <c r="M298" s="508">
        <v>3</v>
      </c>
      <c r="N298" s="508"/>
      <c r="O298" s="508"/>
      <c r="P298" s="395"/>
      <c r="Q298" s="395"/>
      <c r="R298" s="395"/>
      <c r="S298" s="395"/>
      <c r="T298" s="395"/>
      <c r="U298" s="255" t="s">
        <v>568</v>
      </c>
      <c r="V298" s="551"/>
      <c r="W298" s="542" t="str">
        <f t="shared" si="494"/>
        <v>RS0001_8+TB3 NA+</v>
      </c>
      <c r="X298" s="552" t="str">
        <f>I298&amp;TEXT(J298,"0000")&amp;"_"&amp;LEFT(Control!$D$22,LEN(Control!$D$22)-2)</f>
        <v>RS0001_8</v>
      </c>
      <c r="Y298" s="552" t="s">
        <v>433</v>
      </c>
      <c r="Z298" s="552" t="str">
        <f t="shared" si="476"/>
        <v>NA+</v>
      </c>
      <c r="AA298" s="552"/>
      <c r="AB298" s="552">
        <v>1</v>
      </c>
      <c r="AC298" s="552">
        <v>1</v>
      </c>
      <c r="AD298" s="552">
        <v>1</v>
      </c>
      <c r="AE298" s="552">
        <v>1</v>
      </c>
      <c r="AF298" s="552">
        <v>1</v>
      </c>
      <c r="AG298" s="542" t="s">
        <v>561</v>
      </c>
      <c r="AH298" s="552">
        <v>0</v>
      </c>
      <c r="AI298" s="552">
        <v>0</v>
      </c>
      <c r="AJ298" s="552">
        <v>1</v>
      </c>
      <c r="AK298" s="552">
        <v>1</v>
      </c>
      <c r="AL298" s="552">
        <v>1</v>
      </c>
      <c r="AM298" s="552">
        <v>0</v>
      </c>
      <c r="AN298" s="552">
        <v>0</v>
      </c>
      <c r="AO298" s="552">
        <v>1</v>
      </c>
      <c r="AP298" s="552">
        <v>1</v>
      </c>
      <c r="AQ298" s="552">
        <v>1</v>
      </c>
      <c r="AR298" s="552">
        <v>1</v>
      </c>
      <c r="AS298" s="552">
        <v>1</v>
      </c>
      <c r="AT298" s="552">
        <v>1</v>
      </c>
      <c r="AU298" s="552">
        <v>1</v>
      </c>
      <c r="AV298" s="592" t="s">
        <v>1132</v>
      </c>
      <c r="AW298" s="552" t="s">
        <v>562</v>
      </c>
      <c r="AX298" s="552"/>
      <c r="AY298" s="552" t="str">
        <f t="shared" si="474"/>
        <v>Yes</v>
      </c>
      <c r="AZ298" s="554" t="str">
        <f t="shared" si="477"/>
        <v>3:1:Back</v>
      </c>
      <c r="BA298" s="554" t="str">
        <f t="shared" si="478"/>
        <v>Broken Wire (# Broken Subconductors)</v>
      </c>
      <c r="BB298" s="552">
        <f t="shared" si="479"/>
        <v>4</v>
      </c>
      <c r="BC298" s="554" t="str">
        <f t="shared" si="480"/>
        <v>13:1:Back</v>
      </c>
      <c r="BD298" s="554" t="str">
        <f t="shared" si="481"/>
        <v>Broken Wire (# Broken Subconductors)</v>
      </c>
      <c r="BE298" s="552">
        <f t="shared" si="482"/>
        <v>4</v>
      </c>
      <c r="BF298" s="554" t="str">
        <f t="shared" si="403"/>
        <v/>
      </c>
      <c r="BG298" s="554" t="str">
        <f t="shared" si="483"/>
        <v/>
      </c>
      <c r="BH298" s="552" t="str">
        <f t="shared" si="484"/>
        <v/>
      </c>
      <c r="BI298" s="554" t="str">
        <f t="shared" si="485"/>
        <v/>
      </c>
      <c r="BJ298" s="554" t="str">
        <f t="shared" si="486"/>
        <v/>
      </c>
      <c r="BK298" s="552" t="str">
        <f t="shared" si="487"/>
        <v/>
      </c>
      <c r="BL298" s="554" t="str">
        <f t="shared" si="488"/>
        <v/>
      </c>
      <c r="BM298" s="554" t="str">
        <f t="shared" si="489"/>
        <v/>
      </c>
      <c r="BN298" s="552" t="str">
        <f t="shared" si="490"/>
        <v/>
      </c>
      <c r="BO298" s="554" t="str">
        <f t="shared" si="491"/>
        <v/>
      </c>
      <c r="BP298" s="554" t="str">
        <f t="shared" si="492"/>
        <v/>
      </c>
      <c r="BQ298" s="552" t="str">
        <f t="shared" si="493"/>
        <v/>
      </c>
      <c r="BR298" s="554"/>
      <c r="BS298" s="554"/>
      <c r="BT298" s="554"/>
      <c r="BU298" s="554"/>
      <c r="BV298" s="554"/>
      <c r="BW298" s="554"/>
      <c r="BX298" s="554"/>
      <c r="BY298" s="554"/>
      <c r="BZ298" s="554"/>
      <c r="CA298" s="554"/>
      <c r="CB298" s="554"/>
      <c r="CC298" s="554"/>
      <c r="CD298" s="554"/>
      <c r="CE298" s="554"/>
      <c r="CF298" s="554"/>
      <c r="CG298" s="554"/>
      <c r="CH298" s="554"/>
      <c r="CI298" s="554"/>
      <c r="CJ298" s="554"/>
      <c r="CK298" s="554"/>
      <c r="CL298" s="554"/>
      <c r="CM298" s="554"/>
      <c r="CN298" s="554"/>
      <c r="CO298" s="554"/>
      <c r="CP298" s="554"/>
      <c r="CQ298" s="554"/>
      <c r="CR298" s="554"/>
      <c r="CS298" s="554"/>
      <c r="CT298" s="554"/>
      <c r="CU298" s="554"/>
      <c r="CV298" s="554"/>
      <c r="CW298" s="554"/>
      <c r="CX298" s="554"/>
      <c r="CY298" s="554"/>
      <c r="CZ298" s="554"/>
      <c r="DA298" s="554"/>
      <c r="DB298" s="554"/>
      <c r="DC298" s="554"/>
      <c r="DD298" s="554"/>
      <c r="DE298" s="534"/>
      <c r="DF298" s="534"/>
      <c r="DG298" s="534"/>
    </row>
    <row r="299" spans="1:111" ht="15" x14ac:dyDescent="0.25">
      <c r="A299" s="549">
        <f>IFERROR(IF(INDEX('Weather Cases'!$E$10:$E$94,MATCH('Load Criteria'!X299,'Weather Cases'!$H$10:$H$94,0),1)=1,1,"-"),"-")</f>
        <v>1</v>
      </c>
      <c r="B299" s="555" t="s">
        <v>558</v>
      </c>
      <c r="C299" s="556" t="str">
        <f>IF('Weather Cases'!$E$44=0,"","DC/SC")</f>
        <v>DC/SC</v>
      </c>
      <c r="D299" s="555" t="s">
        <v>579</v>
      </c>
      <c r="E299" s="556">
        <v>1</v>
      </c>
      <c r="F299" s="556" t="s">
        <v>22</v>
      </c>
      <c r="G299" s="556" t="str">
        <f>IFERROR(IF(MID('Load Criteria'!X299,FIND("_",'Load Criteria'!X299,1)+1,1)=LEFT(Control!$D$23,1),"YES","-"),"-")</f>
        <v>-</v>
      </c>
      <c r="H299" s="549" t="s">
        <v>22</v>
      </c>
      <c r="I299" s="557" t="s">
        <v>331</v>
      </c>
      <c r="J299" s="550">
        <f>Control!$D$25</f>
        <v>1</v>
      </c>
      <c r="K299" s="508" t="s">
        <v>571</v>
      </c>
      <c r="L299" s="508" t="s">
        <v>24</v>
      </c>
      <c r="M299" s="594">
        <v>4</v>
      </c>
      <c r="N299" s="508"/>
      <c r="O299" s="508"/>
      <c r="P299" s="395"/>
      <c r="Q299" s="395"/>
      <c r="R299" s="395"/>
      <c r="S299" s="395"/>
      <c r="T299" s="395"/>
      <c r="U299" s="255" t="s">
        <v>568</v>
      </c>
      <c r="V299" s="551" t="s">
        <v>300</v>
      </c>
      <c r="W299" s="542" t="str">
        <f t="shared" si="494"/>
        <v>RS0001_8+TA4 NA+</v>
      </c>
      <c r="X299" s="552" t="str">
        <f>I299&amp;TEXT(J299,"0000")&amp;"_"&amp;LEFT(Control!$D$22,LEN(Control!$D$22)-2)</f>
        <v>RS0001_8</v>
      </c>
      <c r="Y299" s="552" t="s">
        <v>433</v>
      </c>
      <c r="Z299" s="552" t="str">
        <f>U299</f>
        <v>NA+</v>
      </c>
      <c r="AA299" s="552"/>
      <c r="AB299" s="552">
        <v>1</v>
      </c>
      <c r="AC299" s="552">
        <v>1</v>
      </c>
      <c r="AD299" s="552">
        <v>1</v>
      </c>
      <c r="AE299" s="552">
        <v>1</v>
      </c>
      <c r="AF299" s="552">
        <v>1</v>
      </c>
      <c r="AG299" s="542" t="s">
        <v>561</v>
      </c>
      <c r="AH299" s="552">
        <v>0</v>
      </c>
      <c r="AI299" s="552">
        <v>0</v>
      </c>
      <c r="AJ299" s="552">
        <v>1</v>
      </c>
      <c r="AK299" s="552">
        <v>1</v>
      </c>
      <c r="AL299" s="552">
        <v>1</v>
      </c>
      <c r="AM299" s="552">
        <v>0</v>
      </c>
      <c r="AN299" s="552">
        <v>0</v>
      </c>
      <c r="AO299" s="552">
        <v>1</v>
      </c>
      <c r="AP299" s="552">
        <v>1</v>
      </c>
      <c r="AQ299" s="552">
        <v>1</v>
      </c>
      <c r="AR299" s="552">
        <v>1</v>
      </c>
      <c r="AS299" s="552">
        <v>1</v>
      </c>
      <c r="AT299" s="552">
        <v>1</v>
      </c>
      <c r="AU299" s="552">
        <v>1</v>
      </c>
      <c r="AV299" s="592" t="s">
        <v>1132</v>
      </c>
      <c r="AW299" s="552" t="s">
        <v>562</v>
      </c>
      <c r="AX299" s="552"/>
      <c r="AY299" s="552" t="str">
        <f t="shared" ref="AY299:AY304" si="495">IF(L299="","No","Yes")</f>
        <v>Yes</v>
      </c>
      <c r="AZ299" s="554" t="str">
        <f>IF($M299="","",$M299&amp;":1:"&amp;IF($L299="A","Ahead","Back"))</f>
        <v>4:1:Ahead</v>
      </c>
      <c r="BA299" s="554" t="str">
        <f>IF(AZ299="","","Broken Wire (# Broken Subconductors)")</f>
        <v>Broken Wire (# Broken Subconductors)</v>
      </c>
      <c r="BB299" s="552">
        <f>IF(AZ299="","",4)</f>
        <v>4</v>
      </c>
      <c r="BC299" s="554" t="str">
        <f>IF($M299="","",$M299+10&amp;":1:"&amp;IF($L299="A","Ahead","Back"))</f>
        <v>14:1:Ahead</v>
      </c>
      <c r="BD299" s="554" t="str">
        <f>IF(BC299="","","Broken Wire (# Broken Subconductors)")</f>
        <v>Broken Wire (# Broken Subconductors)</v>
      </c>
      <c r="BE299" s="552">
        <f>IF(BC299="","",4)</f>
        <v>4</v>
      </c>
      <c r="BF299" s="554" t="str">
        <f t="shared" si="403"/>
        <v/>
      </c>
      <c r="BG299" s="554" t="str">
        <f>IF(BF299="","","Broken Wire (# Broken Subconductors)")</f>
        <v/>
      </c>
      <c r="BH299" s="552" t="str">
        <f>IF(BF299="","",4)</f>
        <v/>
      </c>
      <c r="BI299" s="554" t="str">
        <f>IF($N299="","",$N299+10&amp;":1:"&amp;IF($L299="A","Ahead","Back"))</f>
        <v/>
      </c>
      <c r="BJ299" s="554" t="str">
        <f>IF(BI299="","","Broken Wire (# Broken Subconductors)")</f>
        <v/>
      </c>
      <c r="BK299" s="552" t="str">
        <f>IF(BI299="","",4)</f>
        <v/>
      </c>
      <c r="BL299" s="554" t="str">
        <f>IF($O299="","",$O299&amp;":1:"&amp;IF($L299="A","Ahead","Back"))</f>
        <v/>
      </c>
      <c r="BM299" s="554" t="str">
        <f>IF(BL299="","","Broken Wire (# Broken Subconductors)")</f>
        <v/>
      </c>
      <c r="BN299" s="552" t="str">
        <f>IF(BL299="","",4)</f>
        <v/>
      </c>
      <c r="BO299" s="554" t="str">
        <f>IF($O299="","",$O299+10&amp;":1:"&amp;IF($L299="A","Ahead","Back"))</f>
        <v/>
      </c>
      <c r="BP299" s="554" t="str">
        <f>IF(BO299="","","Broken Wire (# Broken Subconductors)")</f>
        <v/>
      </c>
      <c r="BQ299" s="552" t="str">
        <f>IF(BO299="","",4)</f>
        <v/>
      </c>
      <c r="BR299" s="554"/>
      <c r="BS299" s="554"/>
      <c r="BT299" s="554"/>
      <c r="BU299" s="554"/>
      <c r="BV299" s="554"/>
      <c r="BW299" s="554"/>
      <c r="BX299" s="554"/>
      <c r="BY299" s="554"/>
      <c r="BZ299" s="554"/>
      <c r="CA299" s="554"/>
      <c r="CB299" s="554"/>
      <c r="CC299" s="554"/>
      <c r="CD299" s="554"/>
      <c r="CE299" s="554"/>
      <c r="CF299" s="554"/>
      <c r="CG299" s="554"/>
      <c r="CH299" s="554"/>
      <c r="CI299" s="554"/>
      <c r="CJ299" s="554"/>
      <c r="CK299" s="554"/>
      <c r="CL299" s="554"/>
      <c r="CM299" s="554"/>
      <c r="CN299" s="554"/>
      <c r="CO299" s="554"/>
      <c r="CP299" s="554"/>
      <c r="CQ299" s="554"/>
      <c r="CR299" s="554"/>
      <c r="CS299" s="554"/>
      <c r="CT299" s="554"/>
      <c r="CU299" s="554"/>
      <c r="CV299" s="554"/>
      <c r="CW299" s="554"/>
      <c r="CX299" s="554"/>
      <c r="CY299" s="554"/>
      <c r="CZ299" s="554"/>
      <c r="DA299" s="554"/>
      <c r="DB299" s="554"/>
      <c r="DC299" s="554"/>
      <c r="DD299" s="554"/>
      <c r="DE299" s="534"/>
      <c r="DF299" s="534"/>
      <c r="DG299" s="534"/>
    </row>
    <row r="300" spans="1:111" ht="15" x14ac:dyDescent="0.25">
      <c r="A300" s="549">
        <f>IFERROR(IF(INDEX('Weather Cases'!$E$10:$E$94,MATCH('Load Criteria'!X300,'Weather Cases'!$H$10:$H$94,0),1)=1,1,"-"),"-")</f>
        <v>1</v>
      </c>
      <c r="B300" s="555" t="s">
        <v>558</v>
      </c>
      <c r="C300" s="556" t="str">
        <f>IF('Weather Cases'!$E$44=0,"","DC/SC")</f>
        <v>DC/SC</v>
      </c>
      <c r="D300" s="555" t="s">
        <v>579</v>
      </c>
      <c r="E300" s="556">
        <v>1</v>
      </c>
      <c r="F300" s="556" t="s">
        <v>22</v>
      </c>
      <c r="G300" s="556" t="str">
        <f>IFERROR(IF(MID('Load Criteria'!X300,FIND("_",'Load Criteria'!X300,1)+1,1)=LEFT(Control!$D$23,1),"YES","-"),"-")</f>
        <v>-</v>
      </c>
      <c r="H300" s="549" t="s">
        <v>22</v>
      </c>
      <c r="I300" s="557" t="s">
        <v>331</v>
      </c>
      <c r="J300" s="550">
        <f>Control!$D$25</f>
        <v>1</v>
      </c>
      <c r="K300" s="508" t="s">
        <v>571</v>
      </c>
      <c r="L300" s="508" t="s">
        <v>40</v>
      </c>
      <c r="M300" s="594">
        <v>4</v>
      </c>
      <c r="N300" s="508"/>
      <c r="O300" s="508"/>
      <c r="P300" s="395"/>
      <c r="Q300" s="395"/>
      <c r="R300" s="395"/>
      <c r="S300" s="395"/>
      <c r="T300" s="395"/>
      <c r="U300" s="255" t="s">
        <v>568</v>
      </c>
      <c r="V300" s="551"/>
      <c r="W300" s="542" t="str">
        <f t="shared" si="494"/>
        <v>RS0001_8+TB4 NA+</v>
      </c>
      <c r="X300" s="552" t="str">
        <f>I300&amp;TEXT(J300,"0000")&amp;"_"&amp;LEFT(Control!$D$22,LEN(Control!$D$22)-2)</f>
        <v>RS0001_8</v>
      </c>
      <c r="Y300" s="552" t="s">
        <v>433</v>
      </c>
      <c r="Z300" s="552" t="str">
        <f t="shared" ref="Z300:Z304" si="496">U300</f>
        <v>NA+</v>
      </c>
      <c r="AA300" s="552"/>
      <c r="AB300" s="552">
        <v>1</v>
      </c>
      <c r="AC300" s="552">
        <v>1</v>
      </c>
      <c r="AD300" s="552">
        <v>1</v>
      </c>
      <c r="AE300" s="552">
        <v>1</v>
      </c>
      <c r="AF300" s="552">
        <v>1</v>
      </c>
      <c r="AG300" s="542" t="s">
        <v>561</v>
      </c>
      <c r="AH300" s="552">
        <v>0</v>
      </c>
      <c r="AI300" s="552">
        <v>0</v>
      </c>
      <c r="AJ300" s="552">
        <v>1</v>
      </c>
      <c r="AK300" s="552">
        <v>1</v>
      </c>
      <c r="AL300" s="552">
        <v>1</v>
      </c>
      <c r="AM300" s="552">
        <v>0</v>
      </c>
      <c r="AN300" s="552">
        <v>0</v>
      </c>
      <c r="AO300" s="552">
        <v>1</v>
      </c>
      <c r="AP300" s="552">
        <v>1</v>
      </c>
      <c r="AQ300" s="552">
        <v>1</v>
      </c>
      <c r="AR300" s="552">
        <v>1</v>
      </c>
      <c r="AS300" s="552">
        <v>1</v>
      </c>
      <c r="AT300" s="552">
        <v>1</v>
      </c>
      <c r="AU300" s="552">
        <v>1</v>
      </c>
      <c r="AV300" s="592" t="s">
        <v>1132</v>
      </c>
      <c r="AW300" s="552" t="s">
        <v>562</v>
      </c>
      <c r="AX300" s="552"/>
      <c r="AY300" s="552" t="str">
        <f t="shared" si="495"/>
        <v>Yes</v>
      </c>
      <c r="AZ300" s="554" t="str">
        <f t="shared" si="477"/>
        <v>4:1:Back</v>
      </c>
      <c r="BA300" s="554" t="str">
        <f t="shared" ref="BA300:BA304" si="497">IF(AZ300="","","Broken Wire (# Broken Subconductors)")</f>
        <v>Broken Wire (# Broken Subconductors)</v>
      </c>
      <c r="BB300" s="552">
        <f t="shared" ref="BB300:BB304" si="498">IF(AZ300="","",4)</f>
        <v>4</v>
      </c>
      <c r="BC300" s="554" t="str">
        <f t="shared" si="480"/>
        <v>14:1:Back</v>
      </c>
      <c r="BD300" s="554" t="str">
        <f t="shared" ref="BD300:BD304" si="499">IF(BC300="","","Broken Wire (# Broken Subconductors)")</f>
        <v>Broken Wire (# Broken Subconductors)</v>
      </c>
      <c r="BE300" s="552">
        <f t="shared" ref="BE300:BE304" si="500">IF(BC300="","",4)</f>
        <v>4</v>
      </c>
      <c r="BF300" s="554" t="str">
        <f t="shared" si="403"/>
        <v/>
      </c>
      <c r="BG300" s="554" t="str">
        <f t="shared" ref="BG300:BG304" si="501">IF(BF300="","","Broken Wire (# Broken Subconductors)")</f>
        <v/>
      </c>
      <c r="BH300" s="552" t="str">
        <f t="shared" ref="BH300:BH304" si="502">IF(BF300="","",4)</f>
        <v/>
      </c>
      <c r="BI300" s="554" t="str">
        <f t="shared" si="485"/>
        <v/>
      </c>
      <c r="BJ300" s="554" t="str">
        <f t="shared" ref="BJ300:BJ304" si="503">IF(BI300="","","Broken Wire (# Broken Subconductors)")</f>
        <v/>
      </c>
      <c r="BK300" s="552" t="str">
        <f t="shared" ref="BK300:BK304" si="504">IF(BI300="","",4)</f>
        <v/>
      </c>
      <c r="BL300" s="554" t="str">
        <f t="shared" si="488"/>
        <v/>
      </c>
      <c r="BM300" s="554" t="str">
        <f t="shared" ref="BM300:BM304" si="505">IF(BL300="","","Broken Wire (# Broken Subconductors)")</f>
        <v/>
      </c>
      <c r="BN300" s="552" t="str">
        <f t="shared" ref="BN300:BN304" si="506">IF(BL300="","",4)</f>
        <v/>
      </c>
      <c r="BO300" s="554" t="str">
        <f t="shared" si="491"/>
        <v/>
      </c>
      <c r="BP300" s="554" t="str">
        <f t="shared" ref="BP300:BP304" si="507">IF(BO300="","","Broken Wire (# Broken Subconductors)")</f>
        <v/>
      </c>
      <c r="BQ300" s="552" t="str">
        <f t="shared" ref="BQ300:BQ304" si="508">IF(BO300="","",4)</f>
        <v/>
      </c>
      <c r="BR300" s="554"/>
      <c r="BS300" s="554"/>
      <c r="BT300" s="554"/>
      <c r="BU300" s="554"/>
      <c r="BV300" s="554"/>
      <c r="BW300" s="554"/>
      <c r="BX300" s="554"/>
      <c r="BY300" s="554"/>
      <c r="BZ300" s="554"/>
      <c r="CA300" s="554"/>
      <c r="CB300" s="554"/>
      <c r="CC300" s="554"/>
      <c r="CD300" s="554"/>
      <c r="CE300" s="554"/>
      <c r="CF300" s="554"/>
      <c r="CG300" s="554"/>
      <c r="CH300" s="554"/>
      <c r="CI300" s="554"/>
      <c r="CJ300" s="554"/>
      <c r="CK300" s="554"/>
      <c r="CL300" s="554"/>
      <c r="CM300" s="554"/>
      <c r="CN300" s="554"/>
      <c r="CO300" s="554"/>
      <c r="CP300" s="554"/>
      <c r="CQ300" s="554"/>
      <c r="CR300" s="554"/>
      <c r="CS300" s="554"/>
      <c r="CT300" s="554"/>
      <c r="CU300" s="554"/>
      <c r="CV300" s="554"/>
      <c r="CW300" s="554"/>
      <c r="CX300" s="554"/>
      <c r="CY300" s="554"/>
      <c r="CZ300" s="554"/>
      <c r="DA300" s="554"/>
      <c r="DB300" s="554"/>
      <c r="DC300" s="554"/>
      <c r="DD300" s="554"/>
      <c r="DE300" s="534"/>
      <c r="DF300" s="534"/>
      <c r="DG300" s="534"/>
    </row>
    <row r="301" spans="1:111" ht="15" x14ac:dyDescent="0.25">
      <c r="A301" s="549">
        <f>IFERROR(IF(INDEX('Weather Cases'!$E$10:$E$94,MATCH('Load Criteria'!X301,'Weather Cases'!$H$10:$H$94,0),1)=1,1,"-"),"-")</f>
        <v>1</v>
      </c>
      <c r="B301" s="555" t="s">
        <v>558</v>
      </c>
      <c r="C301" s="556" t="str">
        <f>IF('Weather Cases'!$E$44=0,"","DC/SC")</f>
        <v>DC/SC</v>
      </c>
      <c r="D301" s="555" t="s">
        <v>579</v>
      </c>
      <c r="E301" s="556">
        <v>1</v>
      </c>
      <c r="F301" s="556" t="s">
        <v>22</v>
      </c>
      <c r="G301" s="556" t="str">
        <f>IFERROR(IF(MID('Load Criteria'!X301,FIND("_",'Load Criteria'!X301,1)+1,1)=LEFT(Control!$D$23,1),"YES","-"),"-")</f>
        <v>-</v>
      </c>
      <c r="H301" s="549" t="s">
        <v>22</v>
      </c>
      <c r="I301" s="557" t="s">
        <v>331</v>
      </c>
      <c r="J301" s="550">
        <f>Control!$D$25</f>
        <v>1</v>
      </c>
      <c r="K301" s="508" t="s">
        <v>571</v>
      </c>
      <c r="L301" s="508" t="s">
        <v>24</v>
      </c>
      <c r="M301" s="594">
        <v>5</v>
      </c>
      <c r="N301" s="508"/>
      <c r="O301" s="508"/>
      <c r="P301" s="395"/>
      <c r="Q301" s="395"/>
      <c r="R301" s="395"/>
      <c r="S301" s="395"/>
      <c r="T301" s="395"/>
      <c r="U301" s="255" t="s">
        <v>568</v>
      </c>
      <c r="V301" s="551"/>
      <c r="W301" s="542" t="str">
        <f t="shared" si="494"/>
        <v>RS0001_8+TA5 NA+</v>
      </c>
      <c r="X301" s="552" t="str">
        <f>I301&amp;TEXT(J301,"0000")&amp;"_"&amp;LEFT(Control!$D$22,LEN(Control!$D$22)-2)</f>
        <v>RS0001_8</v>
      </c>
      <c r="Y301" s="552" t="s">
        <v>433</v>
      </c>
      <c r="Z301" s="552" t="str">
        <f t="shared" si="496"/>
        <v>NA+</v>
      </c>
      <c r="AA301" s="552"/>
      <c r="AB301" s="552">
        <v>1</v>
      </c>
      <c r="AC301" s="552">
        <v>1</v>
      </c>
      <c r="AD301" s="552">
        <v>1</v>
      </c>
      <c r="AE301" s="552">
        <v>1</v>
      </c>
      <c r="AF301" s="552">
        <v>1</v>
      </c>
      <c r="AG301" s="542" t="s">
        <v>561</v>
      </c>
      <c r="AH301" s="552">
        <v>0</v>
      </c>
      <c r="AI301" s="552">
        <v>0</v>
      </c>
      <c r="AJ301" s="552">
        <v>1</v>
      </c>
      <c r="AK301" s="552">
        <v>1</v>
      </c>
      <c r="AL301" s="552">
        <v>1</v>
      </c>
      <c r="AM301" s="552">
        <v>0</v>
      </c>
      <c r="AN301" s="552">
        <v>0</v>
      </c>
      <c r="AO301" s="552">
        <v>1</v>
      </c>
      <c r="AP301" s="552">
        <v>1</v>
      </c>
      <c r="AQ301" s="552">
        <v>1</v>
      </c>
      <c r="AR301" s="552">
        <v>1</v>
      </c>
      <c r="AS301" s="552">
        <v>1</v>
      </c>
      <c r="AT301" s="552">
        <v>1</v>
      </c>
      <c r="AU301" s="552">
        <v>1</v>
      </c>
      <c r="AV301" s="592" t="s">
        <v>1132</v>
      </c>
      <c r="AW301" s="552" t="s">
        <v>562</v>
      </c>
      <c r="AX301" s="552"/>
      <c r="AY301" s="552" t="str">
        <f t="shared" si="495"/>
        <v>Yes</v>
      </c>
      <c r="AZ301" s="554" t="str">
        <f t="shared" si="477"/>
        <v>5:1:Ahead</v>
      </c>
      <c r="BA301" s="554" t="str">
        <f t="shared" si="497"/>
        <v>Broken Wire (# Broken Subconductors)</v>
      </c>
      <c r="BB301" s="552">
        <f t="shared" si="498"/>
        <v>4</v>
      </c>
      <c r="BC301" s="554" t="str">
        <f t="shared" si="480"/>
        <v>15:1:Ahead</v>
      </c>
      <c r="BD301" s="554" t="str">
        <f t="shared" si="499"/>
        <v>Broken Wire (# Broken Subconductors)</v>
      </c>
      <c r="BE301" s="552">
        <f t="shared" si="500"/>
        <v>4</v>
      </c>
      <c r="BF301" s="554" t="str">
        <f t="shared" si="403"/>
        <v/>
      </c>
      <c r="BG301" s="554" t="str">
        <f t="shared" si="501"/>
        <v/>
      </c>
      <c r="BH301" s="552" t="str">
        <f t="shared" si="502"/>
        <v/>
      </c>
      <c r="BI301" s="554" t="str">
        <f t="shared" si="485"/>
        <v/>
      </c>
      <c r="BJ301" s="554" t="str">
        <f t="shared" si="503"/>
        <v/>
      </c>
      <c r="BK301" s="552" t="str">
        <f t="shared" si="504"/>
        <v/>
      </c>
      <c r="BL301" s="554" t="str">
        <f t="shared" si="488"/>
        <v/>
      </c>
      <c r="BM301" s="554" t="str">
        <f t="shared" si="505"/>
        <v/>
      </c>
      <c r="BN301" s="552" t="str">
        <f t="shared" si="506"/>
        <v/>
      </c>
      <c r="BO301" s="554" t="str">
        <f t="shared" si="491"/>
        <v/>
      </c>
      <c r="BP301" s="554" t="str">
        <f t="shared" si="507"/>
        <v/>
      </c>
      <c r="BQ301" s="552" t="str">
        <f t="shared" si="508"/>
        <v/>
      </c>
      <c r="BR301" s="554"/>
      <c r="BS301" s="554"/>
      <c r="BT301" s="554"/>
      <c r="BU301" s="554"/>
      <c r="BV301" s="554"/>
      <c r="BW301" s="554"/>
      <c r="BX301" s="554"/>
      <c r="BY301" s="554"/>
      <c r="BZ301" s="554"/>
      <c r="CA301" s="554"/>
      <c r="CB301" s="554"/>
      <c r="CC301" s="554"/>
      <c r="CD301" s="554"/>
      <c r="CE301" s="554"/>
      <c r="CF301" s="554"/>
      <c r="CG301" s="554"/>
      <c r="CH301" s="554"/>
      <c r="CI301" s="554"/>
      <c r="CJ301" s="554"/>
      <c r="CK301" s="554"/>
      <c r="CL301" s="554"/>
      <c r="CM301" s="554"/>
      <c r="CN301" s="554"/>
      <c r="CO301" s="554"/>
      <c r="CP301" s="554"/>
      <c r="CQ301" s="554"/>
      <c r="CR301" s="554"/>
      <c r="CS301" s="554"/>
      <c r="CT301" s="554"/>
      <c r="CU301" s="554"/>
      <c r="CV301" s="554"/>
      <c r="CW301" s="554"/>
      <c r="CX301" s="554"/>
      <c r="CY301" s="554"/>
      <c r="CZ301" s="554"/>
      <c r="DA301" s="554"/>
      <c r="DB301" s="554"/>
      <c r="DC301" s="554"/>
      <c r="DD301" s="554"/>
      <c r="DE301" s="534"/>
      <c r="DF301" s="534"/>
      <c r="DG301" s="534"/>
    </row>
    <row r="302" spans="1:111" ht="15" x14ac:dyDescent="0.25">
      <c r="A302" s="549">
        <f>IFERROR(IF(INDEX('Weather Cases'!$E$10:$E$94,MATCH('Load Criteria'!X302,'Weather Cases'!$H$10:$H$94,0),1)=1,1,"-"),"-")</f>
        <v>1</v>
      </c>
      <c r="B302" s="555" t="s">
        <v>558</v>
      </c>
      <c r="C302" s="556" t="str">
        <f>IF('Weather Cases'!$E$44=0,"","DC/SC")</f>
        <v>DC/SC</v>
      </c>
      <c r="D302" s="555" t="s">
        <v>579</v>
      </c>
      <c r="E302" s="556">
        <v>1</v>
      </c>
      <c r="F302" s="556" t="s">
        <v>22</v>
      </c>
      <c r="G302" s="556" t="str">
        <f>IFERROR(IF(MID('Load Criteria'!X302,FIND("_",'Load Criteria'!X302,1)+1,1)=LEFT(Control!$D$23,1),"YES","-"),"-")</f>
        <v>-</v>
      </c>
      <c r="H302" s="549" t="s">
        <v>22</v>
      </c>
      <c r="I302" s="557" t="s">
        <v>331</v>
      </c>
      <c r="J302" s="550">
        <f>Control!$D$25</f>
        <v>1</v>
      </c>
      <c r="K302" s="508" t="s">
        <v>571</v>
      </c>
      <c r="L302" s="508" t="s">
        <v>40</v>
      </c>
      <c r="M302" s="594">
        <v>5</v>
      </c>
      <c r="N302" s="508"/>
      <c r="O302" s="508"/>
      <c r="P302" s="395"/>
      <c r="Q302" s="395"/>
      <c r="R302" s="395"/>
      <c r="S302" s="395"/>
      <c r="T302" s="395"/>
      <c r="U302" s="255" t="s">
        <v>568</v>
      </c>
      <c r="V302" s="551"/>
      <c r="W302" s="542" t="str">
        <f t="shared" ref="W302:W304" si="509">X302&amp;"+"&amp;K302&amp;IF(L302="","",CONCATENATE(L302,M302,N302,O302))&amp;" "&amp;U302</f>
        <v>RS0001_8+TB5 NA+</v>
      </c>
      <c r="X302" s="552" t="str">
        <f>I302&amp;TEXT(J302,"0000")&amp;"_"&amp;LEFT(Control!$D$22,LEN(Control!$D$22)-2)</f>
        <v>RS0001_8</v>
      </c>
      <c r="Y302" s="552" t="s">
        <v>433</v>
      </c>
      <c r="Z302" s="552" t="str">
        <f t="shared" si="496"/>
        <v>NA+</v>
      </c>
      <c r="AA302" s="552"/>
      <c r="AB302" s="552">
        <v>1</v>
      </c>
      <c r="AC302" s="552">
        <v>1</v>
      </c>
      <c r="AD302" s="552">
        <v>1</v>
      </c>
      <c r="AE302" s="552">
        <v>1</v>
      </c>
      <c r="AF302" s="552">
        <v>1</v>
      </c>
      <c r="AG302" s="542" t="s">
        <v>561</v>
      </c>
      <c r="AH302" s="552">
        <v>0</v>
      </c>
      <c r="AI302" s="552">
        <v>0</v>
      </c>
      <c r="AJ302" s="552">
        <v>1</v>
      </c>
      <c r="AK302" s="552">
        <v>1</v>
      </c>
      <c r="AL302" s="552">
        <v>1</v>
      </c>
      <c r="AM302" s="552">
        <v>0</v>
      </c>
      <c r="AN302" s="552">
        <v>0</v>
      </c>
      <c r="AO302" s="552">
        <v>1</v>
      </c>
      <c r="AP302" s="552">
        <v>1</v>
      </c>
      <c r="AQ302" s="552">
        <v>1</v>
      </c>
      <c r="AR302" s="552">
        <v>1</v>
      </c>
      <c r="AS302" s="552">
        <v>1</v>
      </c>
      <c r="AT302" s="552">
        <v>1</v>
      </c>
      <c r="AU302" s="552">
        <v>1</v>
      </c>
      <c r="AV302" s="592" t="s">
        <v>1132</v>
      </c>
      <c r="AW302" s="552" t="s">
        <v>562</v>
      </c>
      <c r="AX302" s="552"/>
      <c r="AY302" s="552" t="str">
        <f t="shared" si="495"/>
        <v>Yes</v>
      </c>
      <c r="AZ302" s="554" t="str">
        <f t="shared" si="477"/>
        <v>5:1:Back</v>
      </c>
      <c r="BA302" s="554" t="str">
        <f t="shared" si="497"/>
        <v>Broken Wire (# Broken Subconductors)</v>
      </c>
      <c r="BB302" s="552">
        <f t="shared" si="498"/>
        <v>4</v>
      </c>
      <c r="BC302" s="554" t="str">
        <f t="shared" si="480"/>
        <v>15:1:Back</v>
      </c>
      <c r="BD302" s="554" t="str">
        <f t="shared" si="499"/>
        <v>Broken Wire (# Broken Subconductors)</v>
      </c>
      <c r="BE302" s="552">
        <f t="shared" si="500"/>
        <v>4</v>
      </c>
      <c r="BF302" s="554" t="str">
        <f t="shared" si="403"/>
        <v/>
      </c>
      <c r="BG302" s="554" t="str">
        <f t="shared" si="501"/>
        <v/>
      </c>
      <c r="BH302" s="552" t="str">
        <f t="shared" si="502"/>
        <v/>
      </c>
      <c r="BI302" s="554" t="str">
        <f t="shared" si="485"/>
        <v/>
      </c>
      <c r="BJ302" s="554" t="str">
        <f t="shared" si="503"/>
        <v/>
      </c>
      <c r="BK302" s="552" t="str">
        <f t="shared" si="504"/>
        <v/>
      </c>
      <c r="BL302" s="554" t="str">
        <f t="shared" si="488"/>
        <v/>
      </c>
      <c r="BM302" s="554" t="str">
        <f t="shared" si="505"/>
        <v/>
      </c>
      <c r="BN302" s="552" t="str">
        <f t="shared" si="506"/>
        <v/>
      </c>
      <c r="BO302" s="554" t="str">
        <f t="shared" si="491"/>
        <v/>
      </c>
      <c r="BP302" s="554" t="str">
        <f t="shared" si="507"/>
        <v/>
      </c>
      <c r="BQ302" s="552" t="str">
        <f t="shared" si="508"/>
        <v/>
      </c>
      <c r="BR302" s="554"/>
      <c r="BS302" s="554"/>
      <c r="BT302" s="554"/>
      <c r="BU302" s="554"/>
      <c r="BV302" s="554"/>
      <c r="BW302" s="554"/>
      <c r="BX302" s="554"/>
      <c r="BY302" s="554"/>
      <c r="BZ302" s="554"/>
      <c r="CA302" s="554"/>
      <c r="CB302" s="554"/>
      <c r="CC302" s="554"/>
      <c r="CD302" s="554"/>
      <c r="CE302" s="554"/>
      <c r="CF302" s="554"/>
      <c r="CG302" s="554"/>
      <c r="CH302" s="554"/>
      <c r="CI302" s="554"/>
      <c r="CJ302" s="554"/>
      <c r="CK302" s="554"/>
      <c r="CL302" s="554"/>
      <c r="CM302" s="554"/>
      <c r="CN302" s="554"/>
      <c r="CO302" s="554"/>
      <c r="CP302" s="554"/>
      <c r="CQ302" s="554"/>
      <c r="CR302" s="554"/>
      <c r="CS302" s="554"/>
      <c r="CT302" s="554"/>
      <c r="CU302" s="554"/>
      <c r="CV302" s="554"/>
      <c r="CW302" s="554"/>
      <c r="CX302" s="554"/>
      <c r="CY302" s="554"/>
      <c r="CZ302" s="554"/>
      <c r="DA302" s="554"/>
      <c r="DB302" s="554"/>
      <c r="DC302" s="554"/>
      <c r="DD302" s="554"/>
      <c r="DE302" s="534"/>
      <c r="DF302" s="534"/>
      <c r="DG302" s="534"/>
    </row>
    <row r="303" spans="1:111" ht="15" x14ac:dyDescent="0.25">
      <c r="A303" s="549">
        <f>IFERROR(IF(INDEX('Weather Cases'!$E$10:$E$94,MATCH('Load Criteria'!X303,'Weather Cases'!$H$10:$H$94,0),1)=1,1,"-"),"-")</f>
        <v>1</v>
      </c>
      <c r="B303" s="555" t="s">
        <v>558</v>
      </c>
      <c r="C303" s="556" t="str">
        <f>IF('Weather Cases'!$E$44=0,"","DC/SC")</f>
        <v>DC/SC</v>
      </c>
      <c r="D303" s="555" t="s">
        <v>579</v>
      </c>
      <c r="E303" s="556">
        <v>1</v>
      </c>
      <c r="F303" s="556" t="s">
        <v>22</v>
      </c>
      <c r="G303" s="556" t="str">
        <f>IFERROR(IF(MID('Load Criteria'!X303,FIND("_",'Load Criteria'!X303,1)+1,1)=LEFT(Control!$D$23,1),"YES","-"),"-")</f>
        <v>-</v>
      </c>
      <c r="H303" s="549" t="s">
        <v>22</v>
      </c>
      <c r="I303" s="557" t="s">
        <v>331</v>
      </c>
      <c r="J303" s="550">
        <f>Control!$D$25</f>
        <v>1</v>
      </c>
      <c r="K303" s="508" t="s">
        <v>571</v>
      </c>
      <c r="L303" s="508" t="s">
        <v>24</v>
      </c>
      <c r="M303" s="594">
        <v>6</v>
      </c>
      <c r="N303" s="508"/>
      <c r="O303" s="508"/>
      <c r="P303" s="395"/>
      <c r="Q303" s="395"/>
      <c r="R303" s="395"/>
      <c r="S303" s="395"/>
      <c r="T303" s="395"/>
      <c r="U303" s="255" t="s">
        <v>568</v>
      </c>
      <c r="V303" s="551"/>
      <c r="W303" s="542" t="str">
        <f t="shared" si="509"/>
        <v>RS0001_8+TA6 NA+</v>
      </c>
      <c r="X303" s="552" t="str">
        <f>I303&amp;TEXT(J303,"0000")&amp;"_"&amp;LEFT(Control!$D$22,LEN(Control!$D$22)-2)</f>
        <v>RS0001_8</v>
      </c>
      <c r="Y303" s="552" t="s">
        <v>433</v>
      </c>
      <c r="Z303" s="552" t="str">
        <f t="shared" si="496"/>
        <v>NA+</v>
      </c>
      <c r="AA303" s="552"/>
      <c r="AB303" s="552">
        <v>1</v>
      </c>
      <c r="AC303" s="552">
        <v>1</v>
      </c>
      <c r="AD303" s="552">
        <v>1</v>
      </c>
      <c r="AE303" s="552">
        <v>1</v>
      </c>
      <c r="AF303" s="552">
        <v>1</v>
      </c>
      <c r="AG303" s="542" t="s">
        <v>561</v>
      </c>
      <c r="AH303" s="552">
        <v>0</v>
      </c>
      <c r="AI303" s="552">
        <v>0</v>
      </c>
      <c r="AJ303" s="552">
        <v>1</v>
      </c>
      <c r="AK303" s="552">
        <v>1</v>
      </c>
      <c r="AL303" s="552">
        <v>1</v>
      </c>
      <c r="AM303" s="552">
        <v>0</v>
      </c>
      <c r="AN303" s="552">
        <v>0</v>
      </c>
      <c r="AO303" s="552">
        <v>1</v>
      </c>
      <c r="AP303" s="552">
        <v>1</v>
      </c>
      <c r="AQ303" s="552">
        <v>1</v>
      </c>
      <c r="AR303" s="552">
        <v>1</v>
      </c>
      <c r="AS303" s="552">
        <v>1</v>
      </c>
      <c r="AT303" s="552">
        <v>1</v>
      </c>
      <c r="AU303" s="552">
        <v>1</v>
      </c>
      <c r="AV303" s="592" t="s">
        <v>1132</v>
      </c>
      <c r="AW303" s="552" t="s">
        <v>562</v>
      </c>
      <c r="AX303" s="552"/>
      <c r="AY303" s="552" t="str">
        <f t="shared" si="495"/>
        <v>Yes</v>
      </c>
      <c r="AZ303" s="554" t="str">
        <f t="shared" si="477"/>
        <v>6:1:Ahead</v>
      </c>
      <c r="BA303" s="554" t="str">
        <f t="shared" si="497"/>
        <v>Broken Wire (# Broken Subconductors)</v>
      </c>
      <c r="BB303" s="552">
        <f t="shared" si="498"/>
        <v>4</v>
      </c>
      <c r="BC303" s="554" t="str">
        <f t="shared" si="480"/>
        <v>16:1:Ahead</v>
      </c>
      <c r="BD303" s="554" t="str">
        <f t="shared" si="499"/>
        <v>Broken Wire (# Broken Subconductors)</v>
      </c>
      <c r="BE303" s="552">
        <f t="shared" si="500"/>
        <v>4</v>
      </c>
      <c r="BF303" s="554" t="str">
        <f t="shared" si="403"/>
        <v/>
      </c>
      <c r="BG303" s="554" t="str">
        <f t="shared" si="501"/>
        <v/>
      </c>
      <c r="BH303" s="552" t="str">
        <f t="shared" si="502"/>
        <v/>
      </c>
      <c r="BI303" s="554" t="str">
        <f t="shared" si="485"/>
        <v/>
      </c>
      <c r="BJ303" s="554" t="str">
        <f t="shared" si="503"/>
        <v/>
      </c>
      <c r="BK303" s="552" t="str">
        <f t="shared" si="504"/>
        <v/>
      </c>
      <c r="BL303" s="554" t="str">
        <f t="shared" si="488"/>
        <v/>
      </c>
      <c r="BM303" s="554" t="str">
        <f t="shared" si="505"/>
        <v/>
      </c>
      <c r="BN303" s="552" t="str">
        <f t="shared" si="506"/>
        <v/>
      </c>
      <c r="BO303" s="554" t="str">
        <f t="shared" si="491"/>
        <v/>
      </c>
      <c r="BP303" s="554" t="str">
        <f t="shared" si="507"/>
        <v/>
      </c>
      <c r="BQ303" s="552" t="str">
        <f t="shared" si="508"/>
        <v/>
      </c>
      <c r="BR303" s="554"/>
      <c r="BS303" s="554"/>
      <c r="BT303" s="554"/>
      <c r="BU303" s="554"/>
      <c r="BV303" s="554"/>
      <c r="BW303" s="554"/>
      <c r="BX303" s="554"/>
      <c r="BY303" s="554"/>
      <c r="BZ303" s="554"/>
      <c r="CA303" s="554"/>
      <c r="CB303" s="554"/>
      <c r="CC303" s="554"/>
      <c r="CD303" s="554"/>
      <c r="CE303" s="554"/>
      <c r="CF303" s="554"/>
      <c r="CG303" s="554"/>
      <c r="CH303" s="554"/>
      <c r="CI303" s="554"/>
      <c r="CJ303" s="554"/>
      <c r="CK303" s="554"/>
      <c r="CL303" s="554"/>
      <c r="CM303" s="554"/>
      <c r="CN303" s="554"/>
      <c r="CO303" s="554"/>
      <c r="CP303" s="554"/>
      <c r="CQ303" s="554"/>
      <c r="CR303" s="554"/>
      <c r="CS303" s="554"/>
      <c r="CT303" s="554"/>
      <c r="CU303" s="554"/>
      <c r="CV303" s="554"/>
      <c r="CW303" s="554"/>
      <c r="CX303" s="554"/>
      <c r="CY303" s="554"/>
      <c r="CZ303" s="554"/>
      <c r="DA303" s="554"/>
      <c r="DB303" s="554"/>
      <c r="DC303" s="554"/>
      <c r="DD303" s="554"/>
      <c r="DE303" s="534"/>
      <c r="DF303" s="534"/>
      <c r="DG303" s="534"/>
    </row>
    <row r="304" spans="1:111" ht="15" x14ac:dyDescent="0.25">
      <c r="A304" s="549">
        <f>IFERROR(IF(INDEX('Weather Cases'!$E$10:$E$94,MATCH('Load Criteria'!X304,'Weather Cases'!$H$10:$H$94,0),1)=1,1,"-"),"-")</f>
        <v>1</v>
      </c>
      <c r="B304" s="555" t="s">
        <v>558</v>
      </c>
      <c r="C304" s="556" t="str">
        <f>IF('Weather Cases'!$E$44=0,"","DC/SC")</f>
        <v>DC/SC</v>
      </c>
      <c r="D304" s="555" t="s">
        <v>579</v>
      </c>
      <c r="E304" s="556">
        <v>1</v>
      </c>
      <c r="F304" s="556" t="s">
        <v>22</v>
      </c>
      <c r="G304" s="556" t="str">
        <f>IFERROR(IF(MID('Load Criteria'!X304,FIND("_",'Load Criteria'!X304,1)+1,1)=LEFT(Control!$D$23,1),"YES","-"),"-")</f>
        <v>-</v>
      </c>
      <c r="H304" s="549" t="s">
        <v>22</v>
      </c>
      <c r="I304" s="557" t="s">
        <v>331</v>
      </c>
      <c r="J304" s="550">
        <f>Control!$D$25</f>
        <v>1</v>
      </c>
      <c r="K304" s="508" t="s">
        <v>571</v>
      </c>
      <c r="L304" s="508" t="s">
        <v>40</v>
      </c>
      <c r="M304" s="594">
        <v>6</v>
      </c>
      <c r="N304" s="508"/>
      <c r="O304" s="508"/>
      <c r="P304" s="395"/>
      <c r="Q304" s="395"/>
      <c r="R304" s="395"/>
      <c r="S304" s="395"/>
      <c r="T304" s="395"/>
      <c r="U304" s="255" t="s">
        <v>568</v>
      </c>
      <c r="V304" s="551"/>
      <c r="W304" s="542" t="str">
        <f t="shared" si="509"/>
        <v>RS0001_8+TB6 NA+</v>
      </c>
      <c r="X304" s="552" t="str">
        <f>I304&amp;TEXT(J304,"0000")&amp;"_"&amp;LEFT(Control!$D$22,LEN(Control!$D$22)-2)</f>
        <v>RS0001_8</v>
      </c>
      <c r="Y304" s="552" t="s">
        <v>433</v>
      </c>
      <c r="Z304" s="552" t="str">
        <f t="shared" si="496"/>
        <v>NA+</v>
      </c>
      <c r="AA304" s="552"/>
      <c r="AB304" s="552">
        <v>1</v>
      </c>
      <c r="AC304" s="552">
        <v>1</v>
      </c>
      <c r="AD304" s="552">
        <v>1</v>
      </c>
      <c r="AE304" s="552">
        <v>1</v>
      </c>
      <c r="AF304" s="552">
        <v>1</v>
      </c>
      <c r="AG304" s="542" t="s">
        <v>561</v>
      </c>
      <c r="AH304" s="552">
        <v>0</v>
      </c>
      <c r="AI304" s="552">
        <v>0</v>
      </c>
      <c r="AJ304" s="552">
        <v>1</v>
      </c>
      <c r="AK304" s="552">
        <v>1</v>
      </c>
      <c r="AL304" s="552">
        <v>1</v>
      </c>
      <c r="AM304" s="552">
        <v>0</v>
      </c>
      <c r="AN304" s="552">
        <v>0</v>
      </c>
      <c r="AO304" s="552">
        <v>1</v>
      </c>
      <c r="AP304" s="552">
        <v>1</v>
      </c>
      <c r="AQ304" s="552">
        <v>1</v>
      </c>
      <c r="AR304" s="552">
        <v>1</v>
      </c>
      <c r="AS304" s="552">
        <v>1</v>
      </c>
      <c r="AT304" s="552">
        <v>1</v>
      </c>
      <c r="AU304" s="552">
        <v>1</v>
      </c>
      <c r="AV304" s="592" t="s">
        <v>1132</v>
      </c>
      <c r="AW304" s="552" t="s">
        <v>562</v>
      </c>
      <c r="AX304" s="552"/>
      <c r="AY304" s="552" t="str">
        <f t="shared" si="495"/>
        <v>Yes</v>
      </c>
      <c r="AZ304" s="554" t="str">
        <f t="shared" si="477"/>
        <v>6:1:Back</v>
      </c>
      <c r="BA304" s="554" t="str">
        <f t="shared" si="497"/>
        <v>Broken Wire (# Broken Subconductors)</v>
      </c>
      <c r="BB304" s="552">
        <f t="shared" si="498"/>
        <v>4</v>
      </c>
      <c r="BC304" s="554" t="str">
        <f t="shared" si="480"/>
        <v>16:1:Back</v>
      </c>
      <c r="BD304" s="554" t="str">
        <f t="shared" si="499"/>
        <v>Broken Wire (# Broken Subconductors)</v>
      </c>
      <c r="BE304" s="552">
        <f t="shared" si="500"/>
        <v>4</v>
      </c>
      <c r="BF304" s="554" t="str">
        <f t="shared" si="403"/>
        <v/>
      </c>
      <c r="BG304" s="554" t="str">
        <f t="shared" si="501"/>
        <v/>
      </c>
      <c r="BH304" s="552" t="str">
        <f t="shared" si="502"/>
        <v/>
      </c>
      <c r="BI304" s="554" t="str">
        <f t="shared" si="485"/>
        <v/>
      </c>
      <c r="BJ304" s="554" t="str">
        <f t="shared" si="503"/>
        <v/>
      </c>
      <c r="BK304" s="552" t="str">
        <f t="shared" si="504"/>
        <v/>
      </c>
      <c r="BL304" s="554" t="str">
        <f t="shared" si="488"/>
        <v/>
      </c>
      <c r="BM304" s="554" t="str">
        <f t="shared" si="505"/>
        <v/>
      </c>
      <c r="BN304" s="552" t="str">
        <f t="shared" si="506"/>
        <v/>
      </c>
      <c r="BO304" s="554" t="str">
        <f t="shared" si="491"/>
        <v/>
      </c>
      <c r="BP304" s="554" t="str">
        <f t="shared" si="507"/>
        <v/>
      </c>
      <c r="BQ304" s="552" t="str">
        <f t="shared" si="508"/>
        <v/>
      </c>
      <c r="BR304" s="554"/>
      <c r="BS304" s="554"/>
      <c r="BT304" s="554"/>
      <c r="BU304" s="554"/>
      <c r="BV304" s="554"/>
      <c r="BW304" s="554"/>
      <c r="BX304" s="554"/>
      <c r="BY304" s="554"/>
      <c r="BZ304" s="554"/>
      <c r="CA304" s="554"/>
      <c r="CB304" s="554"/>
      <c r="CC304" s="554"/>
      <c r="CD304" s="554"/>
      <c r="CE304" s="554"/>
      <c r="CF304" s="554"/>
      <c r="CG304" s="554"/>
      <c r="CH304" s="554"/>
      <c r="CI304" s="554"/>
      <c r="CJ304" s="554"/>
      <c r="CK304" s="554"/>
      <c r="CL304" s="554"/>
      <c r="CM304" s="554"/>
      <c r="CN304" s="554"/>
      <c r="CO304" s="554"/>
      <c r="CP304" s="554"/>
      <c r="CQ304" s="554"/>
      <c r="CR304" s="554"/>
      <c r="CS304" s="554"/>
      <c r="CT304" s="554"/>
      <c r="CU304" s="554"/>
      <c r="CV304" s="554"/>
      <c r="CW304" s="554"/>
      <c r="CX304" s="554"/>
      <c r="CY304" s="554"/>
      <c r="CZ304" s="554"/>
      <c r="DA304" s="554"/>
      <c r="DB304" s="554"/>
      <c r="DC304" s="554"/>
      <c r="DD304" s="554"/>
      <c r="DE304" s="534"/>
      <c r="DF304" s="534"/>
      <c r="DG304" s="534"/>
    </row>
    <row r="305" spans="1:111" ht="15" x14ac:dyDescent="0.25">
      <c r="A305" s="549">
        <f>IFERROR(IF(INDEX('Weather Cases'!$E$10:$E$94,MATCH('Load Criteria'!X305,'Weather Cases'!$H$10:$H$94,0),1)=1,1,"-"),"-")</f>
        <v>1</v>
      </c>
      <c r="B305" s="555" t="s">
        <v>558</v>
      </c>
      <c r="C305" s="556" t="str">
        <f>IF('Weather Cases'!$E$44=0,"","DC/SC")</f>
        <v>DC/SC</v>
      </c>
      <c r="D305" s="555" t="s">
        <v>579</v>
      </c>
      <c r="E305" s="556">
        <v>1</v>
      </c>
      <c r="F305" s="555" t="s">
        <v>580</v>
      </c>
      <c r="G305" s="556" t="str">
        <f>IFERROR(IF(MID('Load Criteria'!X305,FIND("_",'Load Criteria'!X305,1)+1,1)=LEFT(Control!$D$23,1),"YES","-"),"-")</f>
        <v>-</v>
      </c>
      <c r="H305" s="549" t="s">
        <v>22</v>
      </c>
      <c r="I305" s="557" t="s">
        <v>331</v>
      </c>
      <c r="J305" s="550">
        <f>Control!$D$25</f>
        <v>1</v>
      </c>
      <c r="K305" s="508" t="s">
        <v>571</v>
      </c>
      <c r="L305" s="508" t="s">
        <v>24</v>
      </c>
      <c r="M305" s="550">
        <v>7</v>
      </c>
      <c r="N305" s="550"/>
      <c r="O305" s="550"/>
      <c r="P305" s="392"/>
      <c r="Q305" s="392"/>
      <c r="R305" s="392"/>
      <c r="S305" s="392"/>
      <c r="T305" s="392"/>
      <c r="U305" s="255" t="s">
        <v>568</v>
      </c>
      <c r="V305" s="551"/>
      <c r="W305" s="542" t="str">
        <f t="shared" si="494"/>
        <v>RS0001_8+TA7 NA+</v>
      </c>
      <c r="X305" s="552" t="str">
        <f>I305&amp;TEXT(J305,"0000")&amp;"_"&amp;LEFT(Control!$D$22,LEN(Control!$D$22)-2)</f>
        <v>RS0001_8</v>
      </c>
      <c r="Y305" s="552" t="s">
        <v>433</v>
      </c>
      <c r="Z305" s="552" t="str">
        <f t="shared" si="476"/>
        <v>NA+</v>
      </c>
      <c r="AA305" s="552"/>
      <c r="AB305" s="552">
        <v>1</v>
      </c>
      <c r="AC305" s="552">
        <v>1</v>
      </c>
      <c r="AD305" s="552">
        <v>1</v>
      </c>
      <c r="AE305" s="552">
        <v>1</v>
      </c>
      <c r="AF305" s="552">
        <v>1</v>
      </c>
      <c r="AG305" s="542" t="s">
        <v>561</v>
      </c>
      <c r="AH305" s="552">
        <v>0</v>
      </c>
      <c r="AI305" s="552">
        <v>0</v>
      </c>
      <c r="AJ305" s="552">
        <v>1</v>
      </c>
      <c r="AK305" s="552">
        <v>1</v>
      </c>
      <c r="AL305" s="552">
        <v>1</v>
      </c>
      <c r="AM305" s="552">
        <v>0</v>
      </c>
      <c r="AN305" s="552">
        <v>0</v>
      </c>
      <c r="AO305" s="552">
        <v>1</v>
      </c>
      <c r="AP305" s="552">
        <v>1</v>
      </c>
      <c r="AQ305" s="552">
        <v>1</v>
      </c>
      <c r="AR305" s="552">
        <v>1</v>
      </c>
      <c r="AS305" s="552">
        <v>1</v>
      </c>
      <c r="AT305" s="552">
        <v>1</v>
      </c>
      <c r="AU305" s="552">
        <v>1</v>
      </c>
      <c r="AV305" s="592" t="s">
        <v>1132</v>
      </c>
      <c r="AW305" s="552" t="s">
        <v>562</v>
      </c>
      <c r="AX305" s="552"/>
      <c r="AY305" s="552" t="str">
        <f t="shared" si="474"/>
        <v>Yes</v>
      </c>
      <c r="AZ305" s="554" t="str">
        <f t="shared" si="477"/>
        <v>7:1:Ahead</v>
      </c>
      <c r="BA305" s="554" t="str">
        <f t="shared" si="478"/>
        <v>Broken Wire (# Broken Subconductors)</v>
      </c>
      <c r="BB305" s="552">
        <f t="shared" si="479"/>
        <v>4</v>
      </c>
      <c r="BC305" s="554" t="str">
        <f t="shared" si="480"/>
        <v>17:1:Ahead</v>
      </c>
      <c r="BD305" s="554" t="str">
        <f t="shared" si="481"/>
        <v>Broken Wire (# Broken Subconductors)</v>
      </c>
      <c r="BE305" s="552">
        <f t="shared" si="482"/>
        <v>4</v>
      </c>
      <c r="BF305" s="554" t="str">
        <f t="shared" si="403"/>
        <v/>
      </c>
      <c r="BG305" s="554" t="str">
        <f t="shared" si="483"/>
        <v/>
      </c>
      <c r="BH305" s="552" t="str">
        <f t="shared" si="484"/>
        <v/>
      </c>
      <c r="BI305" s="554" t="str">
        <f t="shared" si="485"/>
        <v/>
      </c>
      <c r="BJ305" s="554" t="str">
        <f t="shared" si="486"/>
        <v/>
      </c>
      <c r="BK305" s="552" t="str">
        <f t="shared" si="487"/>
        <v/>
      </c>
      <c r="BL305" s="554" t="str">
        <f t="shared" si="488"/>
        <v/>
      </c>
      <c r="BM305" s="554" t="str">
        <f t="shared" si="489"/>
        <v/>
      </c>
      <c r="BN305" s="552" t="str">
        <f t="shared" si="490"/>
        <v/>
      </c>
      <c r="BO305" s="554" t="str">
        <f t="shared" si="491"/>
        <v/>
      </c>
      <c r="BP305" s="554" t="str">
        <f t="shared" si="492"/>
        <v/>
      </c>
      <c r="BQ305" s="552" t="str">
        <f t="shared" si="493"/>
        <v/>
      </c>
      <c r="BR305" s="554"/>
      <c r="BS305" s="554"/>
      <c r="BT305" s="554"/>
      <c r="BU305" s="554"/>
      <c r="BV305" s="554"/>
      <c r="BW305" s="554"/>
      <c r="BX305" s="554"/>
      <c r="BY305" s="554"/>
      <c r="BZ305" s="554"/>
      <c r="CA305" s="554"/>
      <c r="CB305" s="554"/>
      <c r="CC305" s="554"/>
      <c r="CD305" s="554"/>
      <c r="CE305" s="554"/>
      <c r="CF305" s="554"/>
      <c r="CG305" s="554"/>
      <c r="CH305" s="554"/>
      <c r="CI305" s="554"/>
      <c r="CJ305" s="554"/>
      <c r="CK305" s="554"/>
      <c r="CL305" s="554"/>
      <c r="CM305" s="554"/>
      <c r="CN305" s="554"/>
      <c r="CO305" s="554"/>
      <c r="CP305" s="554"/>
      <c r="CQ305" s="554"/>
      <c r="CR305" s="554"/>
      <c r="CS305" s="554"/>
      <c r="CT305" s="554"/>
      <c r="CU305" s="554"/>
      <c r="CV305" s="554"/>
      <c r="CW305" s="554"/>
      <c r="CX305" s="554"/>
      <c r="CY305" s="554"/>
      <c r="CZ305" s="554"/>
      <c r="DA305" s="554"/>
      <c r="DB305" s="554"/>
      <c r="DC305" s="554"/>
      <c r="DD305" s="554"/>
      <c r="DE305" s="534"/>
      <c r="DF305" s="534"/>
      <c r="DG305" s="534"/>
    </row>
    <row r="306" spans="1:111" ht="15" x14ac:dyDescent="0.25">
      <c r="A306" s="549">
        <f>IFERROR(IF(INDEX('Weather Cases'!$E$10:$E$94,MATCH('Load Criteria'!X306,'Weather Cases'!$H$10:$H$94,0),1)=1,1,"-"),"-")</f>
        <v>1</v>
      </c>
      <c r="B306" s="555" t="s">
        <v>558</v>
      </c>
      <c r="C306" s="556" t="str">
        <f>IF('Weather Cases'!$E$44=0,"","DC/SC")</f>
        <v>DC/SC</v>
      </c>
      <c r="D306" s="555" t="s">
        <v>579</v>
      </c>
      <c r="E306" s="556">
        <v>1</v>
      </c>
      <c r="F306" s="555" t="s">
        <v>580</v>
      </c>
      <c r="G306" s="556" t="str">
        <f>IFERROR(IF(MID('Load Criteria'!X306,FIND("_",'Load Criteria'!X306,1)+1,1)=LEFT(Control!$D$23,1),"YES","-"),"-")</f>
        <v>-</v>
      </c>
      <c r="H306" s="549" t="s">
        <v>22</v>
      </c>
      <c r="I306" s="557" t="s">
        <v>331</v>
      </c>
      <c r="J306" s="550">
        <f>Control!$D$25</f>
        <v>1</v>
      </c>
      <c r="K306" s="508" t="s">
        <v>571</v>
      </c>
      <c r="L306" s="508" t="s">
        <v>40</v>
      </c>
      <c r="M306" s="550">
        <v>7</v>
      </c>
      <c r="N306" s="550"/>
      <c r="O306" s="550"/>
      <c r="P306" s="392"/>
      <c r="Q306" s="392"/>
      <c r="R306" s="392"/>
      <c r="S306" s="392"/>
      <c r="T306" s="392"/>
      <c r="U306" s="255" t="s">
        <v>568</v>
      </c>
      <c r="V306" s="551"/>
      <c r="W306" s="542" t="str">
        <f t="shared" si="494"/>
        <v>RS0001_8+TB7 NA+</v>
      </c>
      <c r="X306" s="552" t="str">
        <f>I306&amp;TEXT(J306,"0000")&amp;"_"&amp;LEFT(Control!$D$22,LEN(Control!$D$22)-2)</f>
        <v>RS0001_8</v>
      </c>
      <c r="Y306" s="552" t="s">
        <v>433</v>
      </c>
      <c r="Z306" s="552" t="str">
        <f t="shared" si="476"/>
        <v>NA+</v>
      </c>
      <c r="AA306" s="552"/>
      <c r="AB306" s="552">
        <v>1</v>
      </c>
      <c r="AC306" s="552">
        <v>1</v>
      </c>
      <c r="AD306" s="552">
        <v>1</v>
      </c>
      <c r="AE306" s="552">
        <v>1</v>
      </c>
      <c r="AF306" s="552">
        <v>1</v>
      </c>
      <c r="AG306" s="542" t="s">
        <v>561</v>
      </c>
      <c r="AH306" s="552">
        <v>0</v>
      </c>
      <c r="AI306" s="552">
        <v>0</v>
      </c>
      <c r="AJ306" s="552">
        <v>1</v>
      </c>
      <c r="AK306" s="552">
        <v>1</v>
      </c>
      <c r="AL306" s="552">
        <v>1</v>
      </c>
      <c r="AM306" s="552">
        <v>0</v>
      </c>
      <c r="AN306" s="552">
        <v>0</v>
      </c>
      <c r="AO306" s="552">
        <v>1</v>
      </c>
      <c r="AP306" s="552">
        <v>1</v>
      </c>
      <c r="AQ306" s="552">
        <v>1</v>
      </c>
      <c r="AR306" s="552">
        <v>1</v>
      </c>
      <c r="AS306" s="552">
        <v>1</v>
      </c>
      <c r="AT306" s="552">
        <v>1</v>
      </c>
      <c r="AU306" s="552">
        <v>1</v>
      </c>
      <c r="AV306" s="592" t="s">
        <v>1132</v>
      </c>
      <c r="AW306" s="552" t="s">
        <v>562</v>
      </c>
      <c r="AX306" s="552"/>
      <c r="AY306" s="552" t="str">
        <f t="shared" si="474"/>
        <v>Yes</v>
      </c>
      <c r="AZ306" s="554" t="str">
        <f t="shared" si="477"/>
        <v>7:1:Back</v>
      </c>
      <c r="BA306" s="554" t="str">
        <f t="shared" si="478"/>
        <v>Broken Wire (# Broken Subconductors)</v>
      </c>
      <c r="BB306" s="552">
        <f t="shared" si="479"/>
        <v>4</v>
      </c>
      <c r="BC306" s="554" t="str">
        <f t="shared" si="480"/>
        <v>17:1:Back</v>
      </c>
      <c r="BD306" s="554" t="str">
        <f t="shared" si="481"/>
        <v>Broken Wire (# Broken Subconductors)</v>
      </c>
      <c r="BE306" s="552">
        <f t="shared" si="482"/>
        <v>4</v>
      </c>
      <c r="BF306" s="554" t="str">
        <f t="shared" si="403"/>
        <v/>
      </c>
      <c r="BG306" s="554" t="str">
        <f t="shared" si="483"/>
        <v/>
      </c>
      <c r="BH306" s="552" t="str">
        <f t="shared" si="484"/>
        <v/>
      </c>
      <c r="BI306" s="554" t="str">
        <f t="shared" si="485"/>
        <v/>
      </c>
      <c r="BJ306" s="554" t="str">
        <f t="shared" si="486"/>
        <v/>
      </c>
      <c r="BK306" s="552" t="str">
        <f t="shared" si="487"/>
        <v/>
      </c>
      <c r="BL306" s="554" t="str">
        <f t="shared" si="488"/>
        <v/>
      </c>
      <c r="BM306" s="554" t="str">
        <f t="shared" si="489"/>
        <v/>
      </c>
      <c r="BN306" s="552" t="str">
        <f t="shared" si="490"/>
        <v/>
      </c>
      <c r="BO306" s="554" t="str">
        <f t="shared" si="491"/>
        <v/>
      </c>
      <c r="BP306" s="554" t="str">
        <f t="shared" si="492"/>
        <v/>
      </c>
      <c r="BQ306" s="552" t="str">
        <f t="shared" si="493"/>
        <v/>
      </c>
      <c r="BR306" s="554"/>
      <c r="BS306" s="554"/>
      <c r="BT306" s="554"/>
      <c r="BU306" s="554"/>
      <c r="BV306" s="554"/>
      <c r="BW306" s="554"/>
      <c r="BX306" s="554"/>
      <c r="BY306" s="554"/>
      <c r="BZ306" s="554"/>
      <c r="CA306" s="554"/>
      <c r="CB306" s="554"/>
      <c r="CC306" s="554"/>
      <c r="CD306" s="554"/>
      <c r="CE306" s="554"/>
      <c r="CF306" s="554"/>
      <c r="CG306" s="554"/>
      <c r="CH306" s="554"/>
      <c r="CI306" s="554"/>
      <c r="CJ306" s="554"/>
      <c r="CK306" s="554"/>
      <c r="CL306" s="554"/>
      <c r="CM306" s="554"/>
      <c r="CN306" s="554"/>
      <c r="CO306" s="554"/>
      <c r="CP306" s="554"/>
      <c r="CQ306" s="554"/>
      <c r="CR306" s="554"/>
      <c r="CS306" s="554"/>
      <c r="CT306" s="554"/>
      <c r="CU306" s="554"/>
      <c r="CV306" s="554"/>
      <c r="CW306" s="554"/>
      <c r="CX306" s="554"/>
      <c r="CY306" s="554"/>
      <c r="CZ306" s="554"/>
      <c r="DA306" s="554"/>
      <c r="DB306" s="554"/>
      <c r="DC306" s="554"/>
      <c r="DD306" s="554"/>
      <c r="DE306" s="534"/>
      <c r="DF306" s="534"/>
      <c r="DG306" s="534"/>
    </row>
    <row r="307" spans="1:111" ht="15" x14ac:dyDescent="0.25">
      <c r="A307" s="549">
        <f>IFERROR(IF(INDEX('Weather Cases'!$E$10:$E$94,MATCH('Load Criteria'!X307,'Weather Cases'!$H$10:$H$94,0),1)=1,1,"-"),"-")</f>
        <v>1</v>
      </c>
      <c r="B307" s="555" t="s">
        <v>558</v>
      </c>
      <c r="C307" s="556" t="str">
        <f>IF('Weather Cases'!$E$44=0,"","DC/SC")</f>
        <v>DC/SC</v>
      </c>
      <c r="D307" s="555" t="s">
        <v>579</v>
      </c>
      <c r="E307" s="556">
        <v>1</v>
      </c>
      <c r="F307" s="555" t="s">
        <v>581</v>
      </c>
      <c r="G307" s="556" t="str">
        <f>IFERROR(IF(MID('Load Criteria'!X307,FIND("_",'Load Criteria'!X307,1)+1,1)=LEFT(Control!$D$23,1),"YES","-"),"-")</f>
        <v>-</v>
      </c>
      <c r="H307" s="549" t="s">
        <v>22</v>
      </c>
      <c r="I307" s="557" t="s">
        <v>331</v>
      </c>
      <c r="J307" s="550">
        <f>Control!$D$25</f>
        <v>1</v>
      </c>
      <c r="K307" s="508" t="s">
        <v>571</v>
      </c>
      <c r="L307" s="508" t="s">
        <v>24</v>
      </c>
      <c r="M307" s="550">
        <v>8</v>
      </c>
      <c r="N307" s="550"/>
      <c r="O307" s="550"/>
      <c r="P307" s="392"/>
      <c r="Q307" s="392"/>
      <c r="R307" s="392"/>
      <c r="S307" s="392"/>
      <c r="T307" s="392"/>
      <c r="U307" s="255" t="s">
        <v>568</v>
      </c>
      <c r="V307" s="551"/>
      <c r="W307" s="542" t="str">
        <f t="shared" si="494"/>
        <v>RS0001_8+TA8 NA+</v>
      </c>
      <c r="X307" s="552" t="str">
        <f>I307&amp;TEXT(J307,"0000")&amp;"_"&amp;LEFT(Control!$D$22,LEN(Control!$D$22)-2)</f>
        <v>RS0001_8</v>
      </c>
      <c r="Y307" s="552" t="s">
        <v>433</v>
      </c>
      <c r="Z307" s="552" t="str">
        <f t="shared" si="476"/>
        <v>NA+</v>
      </c>
      <c r="AA307" s="552"/>
      <c r="AB307" s="552">
        <v>1</v>
      </c>
      <c r="AC307" s="552">
        <v>1</v>
      </c>
      <c r="AD307" s="552">
        <v>1</v>
      </c>
      <c r="AE307" s="552">
        <v>1</v>
      </c>
      <c r="AF307" s="552">
        <v>1</v>
      </c>
      <c r="AG307" s="542" t="s">
        <v>561</v>
      </c>
      <c r="AH307" s="552">
        <v>0</v>
      </c>
      <c r="AI307" s="552">
        <v>0</v>
      </c>
      <c r="AJ307" s="552">
        <v>1</v>
      </c>
      <c r="AK307" s="552">
        <v>1</v>
      </c>
      <c r="AL307" s="552">
        <v>1</v>
      </c>
      <c r="AM307" s="552">
        <v>0</v>
      </c>
      <c r="AN307" s="552">
        <v>0</v>
      </c>
      <c r="AO307" s="552">
        <v>1</v>
      </c>
      <c r="AP307" s="552">
        <v>1</v>
      </c>
      <c r="AQ307" s="552">
        <v>1</v>
      </c>
      <c r="AR307" s="552">
        <v>1</v>
      </c>
      <c r="AS307" s="552">
        <v>1</v>
      </c>
      <c r="AT307" s="552">
        <v>1</v>
      </c>
      <c r="AU307" s="552">
        <v>1</v>
      </c>
      <c r="AV307" s="592" t="s">
        <v>1132</v>
      </c>
      <c r="AW307" s="552" t="s">
        <v>562</v>
      </c>
      <c r="AX307" s="552"/>
      <c r="AY307" s="552" t="str">
        <f t="shared" si="474"/>
        <v>Yes</v>
      </c>
      <c r="AZ307" s="554" t="str">
        <f t="shared" si="477"/>
        <v>8:1:Ahead</v>
      </c>
      <c r="BA307" s="554" t="str">
        <f t="shared" si="478"/>
        <v>Broken Wire (# Broken Subconductors)</v>
      </c>
      <c r="BB307" s="552">
        <f t="shared" si="479"/>
        <v>4</v>
      </c>
      <c r="BC307" s="554" t="str">
        <f t="shared" si="480"/>
        <v>18:1:Ahead</v>
      </c>
      <c r="BD307" s="554" t="str">
        <f t="shared" si="481"/>
        <v>Broken Wire (# Broken Subconductors)</v>
      </c>
      <c r="BE307" s="552">
        <f t="shared" si="482"/>
        <v>4</v>
      </c>
      <c r="BF307" s="554" t="str">
        <f t="shared" si="403"/>
        <v/>
      </c>
      <c r="BG307" s="554" t="str">
        <f t="shared" si="483"/>
        <v/>
      </c>
      <c r="BH307" s="552" t="str">
        <f t="shared" si="484"/>
        <v/>
      </c>
      <c r="BI307" s="554" t="str">
        <f t="shared" si="485"/>
        <v/>
      </c>
      <c r="BJ307" s="554" t="str">
        <f t="shared" si="486"/>
        <v/>
      </c>
      <c r="BK307" s="552" t="str">
        <f t="shared" si="487"/>
        <v/>
      </c>
      <c r="BL307" s="554" t="str">
        <f t="shared" si="488"/>
        <v/>
      </c>
      <c r="BM307" s="554" t="str">
        <f t="shared" si="489"/>
        <v/>
      </c>
      <c r="BN307" s="552" t="str">
        <f t="shared" si="490"/>
        <v/>
      </c>
      <c r="BO307" s="554" t="str">
        <f t="shared" si="491"/>
        <v/>
      </c>
      <c r="BP307" s="554" t="str">
        <f t="shared" si="492"/>
        <v/>
      </c>
      <c r="BQ307" s="552" t="str">
        <f t="shared" si="493"/>
        <v/>
      </c>
      <c r="BR307" s="554"/>
      <c r="BS307" s="554"/>
      <c r="BT307" s="554"/>
      <c r="BU307" s="554"/>
      <c r="BV307" s="554"/>
      <c r="BW307" s="554"/>
      <c r="BX307" s="554"/>
      <c r="BY307" s="554"/>
      <c r="BZ307" s="554"/>
      <c r="CA307" s="554"/>
      <c r="CB307" s="554"/>
      <c r="CC307" s="554"/>
      <c r="CD307" s="554"/>
      <c r="CE307" s="554"/>
      <c r="CF307" s="554"/>
      <c r="CG307" s="554"/>
      <c r="CH307" s="554"/>
      <c r="CI307" s="554"/>
      <c r="CJ307" s="554"/>
      <c r="CK307" s="554"/>
      <c r="CL307" s="554"/>
      <c r="CM307" s="554"/>
      <c r="CN307" s="554"/>
      <c r="CO307" s="554"/>
      <c r="CP307" s="554"/>
      <c r="CQ307" s="554"/>
      <c r="CR307" s="554"/>
      <c r="CS307" s="554"/>
      <c r="CT307" s="554"/>
      <c r="CU307" s="554"/>
      <c r="CV307" s="554"/>
      <c r="CW307" s="554"/>
      <c r="CX307" s="554"/>
      <c r="CY307" s="554"/>
      <c r="CZ307" s="554"/>
      <c r="DA307" s="554"/>
      <c r="DB307" s="554"/>
      <c r="DC307" s="554"/>
      <c r="DD307" s="554"/>
      <c r="DE307" s="534"/>
      <c r="DF307" s="534"/>
      <c r="DG307" s="534"/>
    </row>
    <row r="308" spans="1:111" ht="15" x14ac:dyDescent="0.25">
      <c r="A308" s="549">
        <f>IFERROR(IF(INDEX('Weather Cases'!$E$10:$E$94,MATCH('Load Criteria'!X308,'Weather Cases'!$H$10:$H$94,0),1)=1,1,"-"),"-")</f>
        <v>1</v>
      </c>
      <c r="B308" s="555" t="s">
        <v>558</v>
      </c>
      <c r="C308" s="556" t="str">
        <f>IF('Weather Cases'!$E$44=0,"","DC/SC")</f>
        <v>DC/SC</v>
      </c>
      <c r="D308" s="555" t="s">
        <v>579</v>
      </c>
      <c r="E308" s="556">
        <v>1</v>
      </c>
      <c r="F308" s="555" t="s">
        <v>581</v>
      </c>
      <c r="G308" s="556" t="str">
        <f>IFERROR(IF(MID('Load Criteria'!X308,FIND("_",'Load Criteria'!X308,1)+1,1)=LEFT(Control!$D$23,1),"YES","-"),"-")</f>
        <v>-</v>
      </c>
      <c r="H308" s="549" t="s">
        <v>22</v>
      </c>
      <c r="I308" s="557" t="s">
        <v>331</v>
      </c>
      <c r="J308" s="550">
        <f>Control!$D$25</f>
        <v>1</v>
      </c>
      <c r="K308" s="508" t="s">
        <v>571</v>
      </c>
      <c r="L308" s="508" t="s">
        <v>40</v>
      </c>
      <c r="M308" s="550">
        <v>8</v>
      </c>
      <c r="N308" s="550"/>
      <c r="O308" s="550"/>
      <c r="P308" s="392"/>
      <c r="Q308" s="392"/>
      <c r="R308" s="392"/>
      <c r="S308" s="392"/>
      <c r="T308" s="392"/>
      <c r="U308" s="255" t="s">
        <v>568</v>
      </c>
      <c r="V308" s="551"/>
      <c r="W308" s="542" t="str">
        <f t="shared" si="494"/>
        <v>RS0001_8+TB8 NA+</v>
      </c>
      <c r="X308" s="552" t="str">
        <f>I308&amp;TEXT(J308,"0000")&amp;"_"&amp;LEFT(Control!$D$22,LEN(Control!$D$22)-2)</f>
        <v>RS0001_8</v>
      </c>
      <c r="Y308" s="552" t="s">
        <v>433</v>
      </c>
      <c r="Z308" s="552" t="str">
        <f t="shared" si="476"/>
        <v>NA+</v>
      </c>
      <c r="AA308" s="552"/>
      <c r="AB308" s="552">
        <v>1</v>
      </c>
      <c r="AC308" s="552">
        <v>1</v>
      </c>
      <c r="AD308" s="552">
        <v>1</v>
      </c>
      <c r="AE308" s="552">
        <v>1</v>
      </c>
      <c r="AF308" s="552">
        <v>1</v>
      </c>
      <c r="AG308" s="542" t="s">
        <v>561</v>
      </c>
      <c r="AH308" s="552">
        <v>0</v>
      </c>
      <c r="AI308" s="552">
        <v>0</v>
      </c>
      <c r="AJ308" s="552">
        <v>1</v>
      </c>
      <c r="AK308" s="552">
        <v>1</v>
      </c>
      <c r="AL308" s="552">
        <v>1</v>
      </c>
      <c r="AM308" s="552">
        <v>0</v>
      </c>
      <c r="AN308" s="552">
        <v>0</v>
      </c>
      <c r="AO308" s="552">
        <v>1</v>
      </c>
      <c r="AP308" s="552">
        <v>1</v>
      </c>
      <c r="AQ308" s="552">
        <v>1</v>
      </c>
      <c r="AR308" s="552">
        <v>1</v>
      </c>
      <c r="AS308" s="552">
        <v>1</v>
      </c>
      <c r="AT308" s="552">
        <v>1</v>
      </c>
      <c r="AU308" s="552">
        <v>1</v>
      </c>
      <c r="AV308" s="592" t="s">
        <v>1132</v>
      </c>
      <c r="AW308" s="552" t="s">
        <v>562</v>
      </c>
      <c r="AX308" s="552"/>
      <c r="AY308" s="552" t="str">
        <f t="shared" si="474"/>
        <v>Yes</v>
      </c>
      <c r="AZ308" s="554" t="str">
        <f t="shared" si="477"/>
        <v>8:1:Back</v>
      </c>
      <c r="BA308" s="554" t="str">
        <f t="shared" si="478"/>
        <v>Broken Wire (# Broken Subconductors)</v>
      </c>
      <c r="BB308" s="552">
        <f t="shared" si="479"/>
        <v>4</v>
      </c>
      <c r="BC308" s="554" t="str">
        <f t="shared" si="480"/>
        <v>18:1:Back</v>
      </c>
      <c r="BD308" s="554" t="str">
        <f t="shared" si="481"/>
        <v>Broken Wire (# Broken Subconductors)</v>
      </c>
      <c r="BE308" s="552">
        <f t="shared" si="482"/>
        <v>4</v>
      </c>
      <c r="BF308" s="554" t="str">
        <f t="shared" ref="BF308:BF356" si="510">IF($N308="","",$N308&amp;":1:"&amp;IF($L308="A","Ahead","Back"))</f>
        <v/>
      </c>
      <c r="BG308" s="554" t="str">
        <f t="shared" si="483"/>
        <v/>
      </c>
      <c r="BH308" s="552" t="str">
        <f t="shared" si="484"/>
        <v/>
      </c>
      <c r="BI308" s="554" t="str">
        <f t="shared" si="485"/>
        <v/>
      </c>
      <c r="BJ308" s="554" t="str">
        <f t="shared" si="486"/>
        <v/>
      </c>
      <c r="BK308" s="552" t="str">
        <f t="shared" si="487"/>
        <v/>
      </c>
      <c r="BL308" s="554" t="str">
        <f t="shared" si="488"/>
        <v/>
      </c>
      <c r="BM308" s="554" t="str">
        <f t="shared" si="489"/>
        <v/>
      </c>
      <c r="BN308" s="552" t="str">
        <f t="shared" si="490"/>
        <v/>
      </c>
      <c r="BO308" s="554" t="str">
        <f t="shared" si="491"/>
        <v/>
      </c>
      <c r="BP308" s="554" t="str">
        <f t="shared" si="492"/>
        <v/>
      </c>
      <c r="BQ308" s="552" t="str">
        <f t="shared" si="493"/>
        <v/>
      </c>
      <c r="BR308" s="554"/>
      <c r="BS308" s="554"/>
      <c r="BT308" s="554"/>
      <c r="BU308" s="554"/>
      <c r="BV308" s="554"/>
      <c r="BW308" s="554"/>
      <c r="BX308" s="554"/>
      <c r="BY308" s="554"/>
      <c r="BZ308" s="554"/>
      <c r="CA308" s="554"/>
      <c r="CB308" s="554"/>
      <c r="CC308" s="554"/>
      <c r="CD308" s="554"/>
      <c r="CE308" s="554"/>
      <c r="CF308" s="554"/>
      <c r="CG308" s="554"/>
      <c r="CH308" s="554"/>
      <c r="CI308" s="554"/>
      <c r="CJ308" s="554"/>
      <c r="CK308" s="554"/>
      <c r="CL308" s="554"/>
      <c r="CM308" s="554"/>
      <c r="CN308" s="554"/>
      <c r="CO308" s="554"/>
      <c r="CP308" s="554"/>
      <c r="CQ308" s="554"/>
      <c r="CR308" s="554"/>
      <c r="CS308" s="554"/>
      <c r="CT308" s="554"/>
      <c r="CU308" s="554"/>
      <c r="CV308" s="554"/>
      <c r="CW308" s="554"/>
      <c r="CX308" s="554"/>
      <c r="CY308" s="554"/>
      <c r="CZ308" s="554"/>
      <c r="DA308" s="554"/>
      <c r="DB308" s="554"/>
      <c r="DC308" s="554"/>
      <c r="DD308" s="554"/>
      <c r="DE308" s="534"/>
      <c r="DF308" s="534"/>
      <c r="DG308" s="534"/>
    </row>
    <row r="309" spans="1:111" ht="15" x14ac:dyDescent="0.25">
      <c r="A309" s="549">
        <f>IFERROR(IF(INDEX('Weather Cases'!$E$10:$E$94,MATCH('Load Criteria'!X309,'Weather Cases'!$H$10:$H$94,0),1)=1,1,"-"),"-")</f>
        <v>1</v>
      </c>
      <c r="B309" s="555" t="s">
        <v>558</v>
      </c>
      <c r="C309" s="556" t="str">
        <f>IF('Weather Cases'!$E$44=0,"","DC/SC")</f>
        <v>DC/SC</v>
      </c>
      <c r="D309" s="555" t="s">
        <v>579</v>
      </c>
      <c r="E309" s="556">
        <v>1</v>
      </c>
      <c r="F309" s="556" t="s">
        <v>22</v>
      </c>
      <c r="G309" s="556" t="str">
        <f>IFERROR(IF(MID('Load Criteria'!X309,FIND("_",'Load Criteria'!X309,1)+1,1)=LEFT(Control!$D$23,1),"YES","-"),"-")</f>
        <v>-</v>
      </c>
      <c r="H309" s="549" t="s">
        <v>22</v>
      </c>
      <c r="I309" s="557" t="s">
        <v>331</v>
      </c>
      <c r="J309" s="550">
        <f>Control!$D$25</f>
        <v>1</v>
      </c>
      <c r="K309" s="508" t="s">
        <v>571</v>
      </c>
      <c r="L309" s="508" t="s">
        <v>24</v>
      </c>
      <c r="M309" s="508">
        <v>1</v>
      </c>
      <c r="N309" s="550"/>
      <c r="O309" s="550"/>
      <c r="P309" s="392"/>
      <c r="Q309" s="392"/>
      <c r="R309" s="392"/>
      <c r="S309" s="392"/>
      <c r="T309" s="392"/>
      <c r="U309" s="255" t="s">
        <v>574</v>
      </c>
      <c r="V309" s="551"/>
      <c r="W309" s="542" t="str">
        <f t="shared" si="494"/>
        <v>RS0001_8+TA1 NA-</v>
      </c>
      <c r="X309" s="552" t="str">
        <f>I309&amp;TEXT(J309,"0000")&amp;"_"&amp;LEFT(Control!$D$22,LEN(Control!$D$22)-2)</f>
        <v>RS0001_8</v>
      </c>
      <c r="Y309" s="552" t="s">
        <v>433</v>
      </c>
      <c r="Z309" s="552" t="str">
        <f t="shared" si="476"/>
        <v>NA-</v>
      </c>
      <c r="AA309" s="552"/>
      <c r="AB309" s="552">
        <v>1</v>
      </c>
      <c r="AC309" s="552">
        <v>1</v>
      </c>
      <c r="AD309" s="552">
        <v>1</v>
      </c>
      <c r="AE309" s="552">
        <v>1</v>
      </c>
      <c r="AF309" s="552">
        <v>1</v>
      </c>
      <c r="AG309" s="542" t="s">
        <v>561</v>
      </c>
      <c r="AH309" s="552">
        <v>0</v>
      </c>
      <c r="AI309" s="552">
        <v>0</v>
      </c>
      <c r="AJ309" s="552">
        <v>1</v>
      </c>
      <c r="AK309" s="552">
        <v>1</v>
      </c>
      <c r="AL309" s="552">
        <v>1</v>
      </c>
      <c r="AM309" s="552">
        <v>0</v>
      </c>
      <c r="AN309" s="552">
        <v>0</v>
      </c>
      <c r="AO309" s="552">
        <v>1</v>
      </c>
      <c r="AP309" s="552">
        <v>1</v>
      </c>
      <c r="AQ309" s="552">
        <v>1</v>
      </c>
      <c r="AR309" s="552">
        <v>1</v>
      </c>
      <c r="AS309" s="552">
        <v>1</v>
      </c>
      <c r="AT309" s="552">
        <v>1</v>
      </c>
      <c r="AU309" s="552">
        <v>1</v>
      </c>
      <c r="AV309" s="592" t="s">
        <v>1132</v>
      </c>
      <c r="AW309" s="552" t="s">
        <v>562</v>
      </c>
      <c r="AX309" s="552"/>
      <c r="AY309" s="552" t="str">
        <f t="shared" si="474"/>
        <v>Yes</v>
      </c>
      <c r="AZ309" s="554" t="str">
        <f t="shared" si="477"/>
        <v>1:1:Ahead</v>
      </c>
      <c r="BA309" s="554" t="str">
        <f t="shared" si="478"/>
        <v>Broken Wire (# Broken Subconductors)</v>
      </c>
      <c r="BB309" s="552">
        <f t="shared" si="479"/>
        <v>4</v>
      </c>
      <c r="BC309" s="554" t="str">
        <f t="shared" si="480"/>
        <v>11:1:Ahead</v>
      </c>
      <c r="BD309" s="554" t="str">
        <f t="shared" si="481"/>
        <v>Broken Wire (# Broken Subconductors)</v>
      </c>
      <c r="BE309" s="552">
        <f t="shared" si="482"/>
        <v>4</v>
      </c>
      <c r="BF309" s="554" t="str">
        <f t="shared" si="510"/>
        <v/>
      </c>
      <c r="BG309" s="554" t="str">
        <f t="shared" si="483"/>
        <v/>
      </c>
      <c r="BH309" s="552" t="str">
        <f t="shared" si="484"/>
        <v/>
      </c>
      <c r="BI309" s="554" t="str">
        <f t="shared" si="485"/>
        <v/>
      </c>
      <c r="BJ309" s="554" t="str">
        <f t="shared" si="486"/>
        <v/>
      </c>
      <c r="BK309" s="552" t="str">
        <f t="shared" si="487"/>
        <v/>
      </c>
      <c r="BL309" s="554" t="str">
        <f t="shared" si="488"/>
        <v/>
      </c>
      <c r="BM309" s="554" t="str">
        <f t="shared" si="489"/>
        <v/>
      </c>
      <c r="BN309" s="552" t="str">
        <f t="shared" si="490"/>
        <v/>
      </c>
      <c r="BO309" s="554" t="str">
        <f t="shared" si="491"/>
        <v/>
      </c>
      <c r="BP309" s="554" t="str">
        <f t="shared" si="492"/>
        <v/>
      </c>
      <c r="BQ309" s="552" t="str">
        <f t="shared" si="493"/>
        <v/>
      </c>
      <c r="BR309" s="554"/>
      <c r="BS309" s="554"/>
      <c r="BT309" s="554"/>
      <c r="BU309" s="554"/>
      <c r="BV309" s="554"/>
      <c r="BW309" s="554"/>
      <c r="BX309" s="554"/>
      <c r="BY309" s="554"/>
      <c r="BZ309" s="554"/>
      <c r="CA309" s="554"/>
      <c r="CB309" s="554"/>
      <c r="CC309" s="554"/>
      <c r="CD309" s="554"/>
      <c r="CE309" s="554"/>
      <c r="CF309" s="554"/>
      <c r="CG309" s="554"/>
      <c r="CH309" s="554"/>
      <c r="CI309" s="554"/>
      <c r="CJ309" s="554"/>
      <c r="CK309" s="554"/>
      <c r="CL309" s="554"/>
      <c r="CM309" s="554"/>
      <c r="CN309" s="554"/>
      <c r="CO309" s="554"/>
      <c r="CP309" s="554"/>
      <c r="CQ309" s="554"/>
      <c r="CR309" s="554"/>
      <c r="CS309" s="554"/>
      <c r="CT309" s="554"/>
      <c r="CU309" s="554"/>
      <c r="CV309" s="554"/>
      <c r="CW309" s="554"/>
      <c r="CX309" s="554"/>
      <c r="CY309" s="554"/>
      <c r="CZ309" s="554"/>
      <c r="DA309" s="554"/>
      <c r="DB309" s="554"/>
      <c r="DC309" s="554"/>
      <c r="DD309" s="554"/>
      <c r="DE309" s="534"/>
      <c r="DF309" s="534"/>
      <c r="DG309" s="534"/>
    </row>
    <row r="310" spans="1:111" ht="15" x14ac:dyDescent="0.25">
      <c r="A310" s="549">
        <f>IFERROR(IF(INDEX('Weather Cases'!$E$10:$E$94,MATCH('Load Criteria'!X310,'Weather Cases'!$H$10:$H$94,0),1)=1,1,"-"),"-")</f>
        <v>1</v>
      </c>
      <c r="B310" s="555" t="s">
        <v>558</v>
      </c>
      <c r="C310" s="556" t="str">
        <f>IF('Weather Cases'!$E$44=0,"","DC/SC")</f>
        <v>DC/SC</v>
      </c>
      <c r="D310" s="555" t="s">
        <v>579</v>
      </c>
      <c r="E310" s="556">
        <v>1</v>
      </c>
      <c r="F310" s="556" t="s">
        <v>22</v>
      </c>
      <c r="G310" s="556" t="str">
        <f>IFERROR(IF(MID('Load Criteria'!X310,FIND("_",'Load Criteria'!X310,1)+1,1)=LEFT(Control!$D$23,1),"YES","-"),"-")</f>
        <v>-</v>
      </c>
      <c r="H310" s="549" t="s">
        <v>22</v>
      </c>
      <c r="I310" s="557" t="s">
        <v>331</v>
      </c>
      <c r="J310" s="550">
        <f>Control!$D$25</f>
        <v>1</v>
      </c>
      <c r="K310" s="508" t="s">
        <v>571</v>
      </c>
      <c r="L310" s="508" t="s">
        <v>40</v>
      </c>
      <c r="M310" s="508">
        <v>1</v>
      </c>
      <c r="N310" s="550"/>
      <c r="O310" s="550"/>
      <c r="P310" s="392"/>
      <c r="Q310" s="392"/>
      <c r="R310" s="392"/>
      <c r="S310" s="392"/>
      <c r="T310" s="392"/>
      <c r="U310" s="255" t="s">
        <v>574</v>
      </c>
      <c r="V310" s="551"/>
      <c r="W310" s="542" t="str">
        <f t="shared" si="494"/>
        <v>RS0001_8+TB1 NA-</v>
      </c>
      <c r="X310" s="552" t="str">
        <f>I310&amp;TEXT(J310,"0000")&amp;"_"&amp;LEFT(Control!$D$22,LEN(Control!$D$22)-2)</f>
        <v>RS0001_8</v>
      </c>
      <c r="Y310" s="552" t="s">
        <v>433</v>
      </c>
      <c r="Z310" s="552" t="str">
        <f t="shared" si="476"/>
        <v>NA-</v>
      </c>
      <c r="AA310" s="552"/>
      <c r="AB310" s="552">
        <v>1</v>
      </c>
      <c r="AC310" s="552">
        <v>1</v>
      </c>
      <c r="AD310" s="552">
        <v>1</v>
      </c>
      <c r="AE310" s="552">
        <v>1</v>
      </c>
      <c r="AF310" s="552">
        <v>1</v>
      </c>
      <c r="AG310" s="542" t="s">
        <v>561</v>
      </c>
      <c r="AH310" s="552">
        <v>0</v>
      </c>
      <c r="AI310" s="552">
        <v>0</v>
      </c>
      <c r="AJ310" s="552">
        <v>1</v>
      </c>
      <c r="AK310" s="552">
        <v>1</v>
      </c>
      <c r="AL310" s="552">
        <v>1</v>
      </c>
      <c r="AM310" s="552">
        <v>0</v>
      </c>
      <c r="AN310" s="552">
        <v>0</v>
      </c>
      <c r="AO310" s="552">
        <v>1</v>
      </c>
      <c r="AP310" s="552">
        <v>1</v>
      </c>
      <c r="AQ310" s="552">
        <v>1</v>
      </c>
      <c r="AR310" s="552">
        <v>1</v>
      </c>
      <c r="AS310" s="552">
        <v>1</v>
      </c>
      <c r="AT310" s="552">
        <v>1</v>
      </c>
      <c r="AU310" s="552">
        <v>1</v>
      </c>
      <c r="AV310" s="592" t="s">
        <v>1132</v>
      </c>
      <c r="AW310" s="552" t="s">
        <v>562</v>
      </c>
      <c r="AX310" s="552"/>
      <c r="AY310" s="552" t="str">
        <f t="shared" si="474"/>
        <v>Yes</v>
      </c>
      <c r="AZ310" s="554" t="str">
        <f t="shared" si="477"/>
        <v>1:1:Back</v>
      </c>
      <c r="BA310" s="554" t="str">
        <f t="shared" si="478"/>
        <v>Broken Wire (# Broken Subconductors)</v>
      </c>
      <c r="BB310" s="552">
        <f t="shared" si="479"/>
        <v>4</v>
      </c>
      <c r="BC310" s="554" t="str">
        <f t="shared" si="480"/>
        <v>11:1:Back</v>
      </c>
      <c r="BD310" s="554" t="str">
        <f t="shared" si="481"/>
        <v>Broken Wire (# Broken Subconductors)</v>
      </c>
      <c r="BE310" s="552">
        <f t="shared" si="482"/>
        <v>4</v>
      </c>
      <c r="BF310" s="554" t="str">
        <f t="shared" si="510"/>
        <v/>
      </c>
      <c r="BG310" s="554" t="str">
        <f t="shared" si="483"/>
        <v/>
      </c>
      <c r="BH310" s="552" t="str">
        <f t="shared" si="484"/>
        <v/>
      </c>
      <c r="BI310" s="554" t="str">
        <f t="shared" si="485"/>
        <v/>
      </c>
      <c r="BJ310" s="554" t="str">
        <f t="shared" si="486"/>
        <v/>
      </c>
      <c r="BK310" s="552" t="str">
        <f t="shared" si="487"/>
        <v/>
      </c>
      <c r="BL310" s="554" t="str">
        <f t="shared" si="488"/>
        <v/>
      </c>
      <c r="BM310" s="554" t="str">
        <f t="shared" si="489"/>
        <v/>
      </c>
      <c r="BN310" s="552" t="str">
        <f t="shared" si="490"/>
        <v/>
      </c>
      <c r="BO310" s="554" t="str">
        <f t="shared" si="491"/>
        <v/>
      </c>
      <c r="BP310" s="554" t="str">
        <f t="shared" si="492"/>
        <v/>
      </c>
      <c r="BQ310" s="552" t="str">
        <f t="shared" si="493"/>
        <v/>
      </c>
      <c r="BR310" s="554"/>
      <c r="BS310" s="554"/>
      <c r="BT310" s="554"/>
      <c r="BU310" s="554"/>
      <c r="BV310" s="554"/>
      <c r="BW310" s="554"/>
      <c r="BX310" s="554"/>
      <c r="BY310" s="554"/>
      <c r="BZ310" s="554"/>
      <c r="CA310" s="554"/>
      <c r="CB310" s="554"/>
      <c r="CC310" s="554"/>
      <c r="CD310" s="554"/>
      <c r="CE310" s="554"/>
      <c r="CF310" s="554"/>
      <c r="CG310" s="554"/>
      <c r="CH310" s="554"/>
      <c r="CI310" s="554"/>
      <c r="CJ310" s="554"/>
      <c r="CK310" s="554"/>
      <c r="CL310" s="554"/>
      <c r="CM310" s="554"/>
      <c r="CN310" s="554"/>
      <c r="CO310" s="554"/>
      <c r="CP310" s="554"/>
      <c r="CQ310" s="554"/>
      <c r="CR310" s="554"/>
      <c r="CS310" s="554"/>
      <c r="CT310" s="554"/>
      <c r="CU310" s="554"/>
      <c r="CV310" s="554"/>
      <c r="CW310" s="554"/>
      <c r="CX310" s="554"/>
      <c r="CY310" s="554"/>
      <c r="CZ310" s="554"/>
      <c r="DA310" s="554"/>
      <c r="DB310" s="554"/>
      <c r="DC310" s="554"/>
      <c r="DD310" s="554"/>
      <c r="DE310" s="534"/>
      <c r="DF310" s="534"/>
      <c r="DG310" s="534"/>
    </row>
    <row r="311" spans="1:111" ht="15" x14ac:dyDescent="0.25">
      <c r="A311" s="549">
        <f>IFERROR(IF(INDEX('Weather Cases'!$E$10:$E$94,MATCH('Load Criteria'!X311,'Weather Cases'!$H$10:$H$94,0),1)=1,1,"-"),"-")</f>
        <v>1</v>
      </c>
      <c r="B311" s="555" t="s">
        <v>558</v>
      </c>
      <c r="C311" s="556" t="str">
        <f>IF('Weather Cases'!$E$44=0,"","DC/SC")</f>
        <v>DC/SC</v>
      </c>
      <c r="D311" s="555" t="s">
        <v>579</v>
      </c>
      <c r="E311" s="556">
        <v>1</v>
      </c>
      <c r="F311" s="556" t="s">
        <v>22</v>
      </c>
      <c r="G311" s="556" t="str">
        <f>IFERROR(IF(MID('Load Criteria'!X311,FIND("_",'Load Criteria'!X311,1)+1,1)=LEFT(Control!$D$23,1),"YES","-"),"-")</f>
        <v>-</v>
      </c>
      <c r="H311" s="549" t="s">
        <v>22</v>
      </c>
      <c r="I311" s="557" t="s">
        <v>331</v>
      </c>
      <c r="J311" s="550">
        <f>Control!$D$25</f>
        <v>1</v>
      </c>
      <c r="K311" s="508" t="s">
        <v>571</v>
      </c>
      <c r="L311" s="508" t="s">
        <v>24</v>
      </c>
      <c r="M311" s="508">
        <v>2</v>
      </c>
      <c r="N311" s="550"/>
      <c r="O311" s="550"/>
      <c r="P311" s="392"/>
      <c r="Q311" s="392"/>
      <c r="R311" s="392"/>
      <c r="S311" s="392"/>
      <c r="T311" s="392"/>
      <c r="U311" s="255" t="s">
        <v>574</v>
      </c>
      <c r="V311" s="551"/>
      <c r="W311" s="542" t="str">
        <f t="shared" si="494"/>
        <v>RS0001_8+TA2 NA-</v>
      </c>
      <c r="X311" s="552" t="str">
        <f>I311&amp;TEXT(J311,"0000")&amp;"_"&amp;LEFT(Control!$D$22,LEN(Control!$D$22)-2)</f>
        <v>RS0001_8</v>
      </c>
      <c r="Y311" s="552" t="s">
        <v>433</v>
      </c>
      <c r="Z311" s="552" t="str">
        <f t="shared" si="476"/>
        <v>NA-</v>
      </c>
      <c r="AA311" s="552"/>
      <c r="AB311" s="552">
        <v>1</v>
      </c>
      <c r="AC311" s="552">
        <v>1</v>
      </c>
      <c r="AD311" s="552">
        <v>1</v>
      </c>
      <c r="AE311" s="552">
        <v>1</v>
      </c>
      <c r="AF311" s="552">
        <v>1</v>
      </c>
      <c r="AG311" s="542" t="s">
        <v>561</v>
      </c>
      <c r="AH311" s="552">
        <v>0</v>
      </c>
      <c r="AI311" s="552">
        <v>0</v>
      </c>
      <c r="AJ311" s="552">
        <v>1</v>
      </c>
      <c r="AK311" s="552">
        <v>1</v>
      </c>
      <c r="AL311" s="552">
        <v>1</v>
      </c>
      <c r="AM311" s="552">
        <v>0</v>
      </c>
      <c r="AN311" s="552">
        <v>0</v>
      </c>
      <c r="AO311" s="552">
        <v>1</v>
      </c>
      <c r="AP311" s="552">
        <v>1</v>
      </c>
      <c r="AQ311" s="552">
        <v>1</v>
      </c>
      <c r="AR311" s="552">
        <v>1</v>
      </c>
      <c r="AS311" s="552">
        <v>1</v>
      </c>
      <c r="AT311" s="552">
        <v>1</v>
      </c>
      <c r="AU311" s="552">
        <v>1</v>
      </c>
      <c r="AV311" s="592" t="s">
        <v>1132</v>
      </c>
      <c r="AW311" s="552" t="s">
        <v>562</v>
      </c>
      <c r="AX311" s="552"/>
      <c r="AY311" s="552" t="str">
        <f t="shared" si="474"/>
        <v>Yes</v>
      </c>
      <c r="AZ311" s="554" t="str">
        <f t="shared" si="477"/>
        <v>2:1:Ahead</v>
      </c>
      <c r="BA311" s="554" t="str">
        <f t="shared" si="478"/>
        <v>Broken Wire (# Broken Subconductors)</v>
      </c>
      <c r="BB311" s="552">
        <f t="shared" si="479"/>
        <v>4</v>
      </c>
      <c r="BC311" s="554" t="str">
        <f t="shared" si="480"/>
        <v>12:1:Ahead</v>
      </c>
      <c r="BD311" s="554" t="str">
        <f t="shared" si="481"/>
        <v>Broken Wire (# Broken Subconductors)</v>
      </c>
      <c r="BE311" s="552">
        <f t="shared" si="482"/>
        <v>4</v>
      </c>
      <c r="BF311" s="554" t="str">
        <f t="shared" si="510"/>
        <v/>
      </c>
      <c r="BG311" s="554" t="str">
        <f t="shared" si="483"/>
        <v/>
      </c>
      <c r="BH311" s="552" t="str">
        <f t="shared" si="484"/>
        <v/>
      </c>
      <c r="BI311" s="554" t="str">
        <f t="shared" si="485"/>
        <v/>
      </c>
      <c r="BJ311" s="554" t="str">
        <f t="shared" si="486"/>
        <v/>
      </c>
      <c r="BK311" s="552" t="str">
        <f t="shared" si="487"/>
        <v/>
      </c>
      <c r="BL311" s="554" t="str">
        <f t="shared" si="488"/>
        <v/>
      </c>
      <c r="BM311" s="554" t="str">
        <f t="shared" si="489"/>
        <v/>
      </c>
      <c r="BN311" s="552" t="str">
        <f t="shared" si="490"/>
        <v/>
      </c>
      <c r="BO311" s="554" t="str">
        <f t="shared" si="491"/>
        <v/>
      </c>
      <c r="BP311" s="554" t="str">
        <f t="shared" si="492"/>
        <v/>
      </c>
      <c r="BQ311" s="552" t="str">
        <f t="shared" si="493"/>
        <v/>
      </c>
      <c r="BR311" s="554"/>
      <c r="BS311" s="554"/>
      <c r="BT311" s="554"/>
      <c r="BU311" s="554"/>
      <c r="BV311" s="554"/>
      <c r="BW311" s="554"/>
      <c r="BX311" s="554"/>
      <c r="BY311" s="554"/>
      <c r="BZ311" s="554"/>
      <c r="CA311" s="554"/>
      <c r="CB311" s="554"/>
      <c r="CC311" s="554"/>
      <c r="CD311" s="554"/>
      <c r="CE311" s="554"/>
      <c r="CF311" s="554"/>
      <c r="CG311" s="554"/>
      <c r="CH311" s="554"/>
      <c r="CI311" s="554"/>
      <c r="CJ311" s="554"/>
      <c r="CK311" s="554"/>
      <c r="CL311" s="554"/>
      <c r="CM311" s="554"/>
      <c r="CN311" s="554"/>
      <c r="CO311" s="554"/>
      <c r="CP311" s="554"/>
      <c r="CQ311" s="554"/>
      <c r="CR311" s="554"/>
      <c r="CS311" s="554"/>
      <c r="CT311" s="554"/>
      <c r="CU311" s="554"/>
      <c r="CV311" s="554"/>
      <c r="CW311" s="554"/>
      <c r="CX311" s="554"/>
      <c r="CY311" s="554"/>
      <c r="CZ311" s="554"/>
      <c r="DA311" s="554"/>
      <c r="DB311" s="554"/>
      <c r="DC311" s="554"/>
      <c r="DD311" s="554"/>
      <c r="DE311" s="534"/>
      <c r="DF311" s="534"/>
      <c r="DG311" s="534"/>
    </row>
    <row r="312" spans="1:111" ht="15" x14ac:dyDescent="0.25">
      <c r="A312" s="549">
        <f>IFERROR(IF(INDEX('Weather Cases'!$E$10:$E$94,MATCH('Load Criteria'!X312,'Weather Cases'!$H$10:$H$94,0),1)=1,1,"-"),"-")</f>
        <v>1</v>
      </c>
      <c r="B312" s="555" t="s">
        <v>558</v>
      </c>
      <c r="C312" s="556" t="str">
        <f>IF('Weather Cases'!$E$44=0,"","DC/SC")</f>
        <v>DC/SC</v>
      </c>
      <c r="D312" s="555" t="s">
        <v>579</v>
      </c>
      <c r="E312" s="556">
        <v>1</v>
      </c>
      <c r="F312" s="556" t="s">
        <v>22</v>
      </c>
      <c r="G312" s="556" t="str">
        <f>IFERROR(IF(MID('Load Criteria'!X312,FIND("_",'Load Criteria'!X312,1)+1,1)=LEFT(Control!$D$23,1),"YES","-"),"-")</f>
        <v>-</v>
      </c>
      <c r="H312" s="549" t="s">
        <v>22</v>
      </c>
      <c r="I312" s="557" t="s">
        <v>331</v>
      </c>
      <c r="J312" s="550">
        <f>Control!$D$25</f>
        <v>1</v>
      </c>
      <c r="K312" s="508" t="s">
        <v>571</v>
      </c>
      <c r="L312" s="508" t="s">
        <v>40</v>
      </c>
      <c r="M312" s="508">
        <v>2</v>
      </c>
      <c r="N312" s="550"/>
      <c r="O312" s="550"/>
      <c r="P312" s="392"/>
      <c r="Q312" s="392"/>
      <c r="R312" s="392"/>
      <c r="S312" s="392"/>
      <c r="T312" s="392"/>
      <c r="U312" s="255" t="s">
        <v>574</v>
      </c>
      <c r="V312" s="551"/>
      <c r="W312" s="542" t="str">
        <f t="shared" si="494"/>
        <v>RS0001_8+TB2 NA-</v>
      </c>
      <c r="X312" s="552" t="str">
        <f>I312&amp;TEXT(J312,"0000")&amp;"_"&amp;LEFT(Control!$D$22,LEN(Control!$D$22)-2)</f>
        <v>RS0001_8</v>
      </c>
      <c r="Y312" s="552" t="s">
        <v>433</v>
      </c>
      <c r="Z312" s="552" t="str">
        <f t="shared" si="476"/>
        <v>NA-</v>
      </c>
      <c r="AA312" s="552"/>
      <c r="AB312" s="552">
        <v>1</v>
      </c>
      <c r="AC312" s="552">
        <v>1</v>
      </c>
      <c r="AD312" s="552">
        <v>1</v>
      </c>
      <c r="AE312" s="552">
        <v>1</v>
      </c>
      <c r="AF312" s="552">
        <v>1</v>
      </c>
      <c r="AG312" s="542" t="s">
        <v>561</v>
      </c>
      <c r="AH312" s="552">
        <v>0</v>
      </c>
      <c r="AI312" s="552">
        <v>0</v>
      </c>
      <c r="AJ312" s="552">
        <v>1</v>
      </c>
      <c r="AK312" s="552">
        <v>1</v>
      </c>
      <c r="AL312" s="552">
        <v>1</v>
      </c>
      <c r="AM312" s="552">
        <v>0</v>
      </c>
      <c r="AN312" s="552">
        <v>0</v>
      </c>
      <c r="AO312" s="552">
        <v>1</v>
      </c>
      <c r="AP312" s="552">
        <v>1</v>
      </c>
      <c r="AQ312" s="552">
        <v>1</v>
      </c>
      <c r="AR312" s="552">
        <v>1</v>
      </c>
      <c r="AS312" s="552">
        <v>1</v>
      </c>
      <c r="AT312" s="552">
        <v>1</v>
      </c>
      <c r="AU312" s="552">
        <v>1</v>
      </c>
      <c r="AV312" s="592" t="s">
        <v>1132</v>
      </c>
      <c r="AW312" s="552" t="s">
        <v>562</v>
      </c>
      <c r="AX312" s="552"/>
      <c r="AY312" s="552" t="str">
        <f t="shared" si="474"/>
        <v>Yes</v>
      </c>
      <c r="AZ312" s="554" t="str">
        <f t="shared" si="477"/>
        <v>2:1:Back</v>
      </c>
      <c r="BA312" s="554" t="str">
        <f t="shared" si="478"/>
        <v>Broken Wire (# Broken Subconductors)</v>
      </c>
      <c r="BB312" s="552">
        <f t="shared" si="479"/>
        <v>4</v>
      </c>
      <c r="BC312" s="554" t="str">
        <f t="shared" si="480"/>
        <v>12:1:Back</v>
      </c>
      <c r="BD312" s="554" t="str">
        <f t="shared" si="481"/>
        <v>Broken Wire (# Broken Subconductors)</v>
      </c>
      <c r="BE312" s="552">
        <f t="shared" si="482"/>
        <v>4</v>
      </c>
      <c r="BF312" s="554" t="str">
        <f t="shared" si="510"/>
        <v/>
      </c>
      <c r="BG312" s="554" t="str">
        <f t="shared" si="483"/>
        <v/>
      </c>
      <c r="BH312" s="552" t="str">
        <f t="shared" si="484"/>
        <v/>
      </c>
      <c r="BI312" s="554" t="str">
        <f t="shared" si="485"/>
        <v/>
      </c>
      <c r="BJ312" s="554" t="str">
        <f t="shared" si="486"/>
        <v/>
      </c>
      <c r="BK312" s="552" t="str">
        <f t="shared" si="487"/>
        <v/>
      </c>
      <c r="BL312" s="554" t="str">
        <f t="shared" si="488"/>
        <v/>
      </c>
      <c r="BM312" s="554" t="str">
        <f t="shared" si="489"/>
        <v/>
      </c>
      <c r="BN312" s="552" t="str">
        <f t="shared" si="490"/>
        <v/>
      </c>
      <c r="BO312" s="554" t="str">
        <f t="shared" si="491"/>
        <v/>
      </c>
      <c r="BP312" s="554" t="str">
        <f t="shared" si="492"/>
        <v/>
      </c>
      <c r="BQ312" s="552" t="str">
        <f t="shared" si="493"/>
        <v/>
      </c>
      <c r="BR312" s="554"/>
      <c r="BS312" s="554"/>
      <c r="BT312" s="554"/>
      <c r="BU312" s="554"/>
      <c r="BV312" s="554"/>
      <c r="BW312" s="554"/>
      <c r="BX312" s="554"/>
      <c r="BY312" s="554"/>
      <c r="BZ312" s="554"/>
      <c r="CA312" s="554"/>
      <c r="CB312" s="554"/>
      <c r="CC312" s="554"/>
      <c r="CD312" s="554"/>
      <c r="CE312" s="554"/>
      <c r="CF312" s="554"/>
      <c r="CG312" s="554"/>
      <c r="CH312" s="554"/>
      <c r="CI312" s="554"/>
      <c r="CJ312" s="554"/>
      <c r="CK312" s="554"/>
      <c r="CL312" s="554"/>
      <c r="CM312" s="554"/>
      <c r="CN312" s="554"/>
      <c r="CO312" s="554"/>
      <c r="CP312" s="554"/>
      <c r="CQ312" s="554"/>
      <c r="CR312" s="554"/>
      <c r="CS312" s="554"/>
      <c r="CT312" s="554"/>
      <c r="CU312" s="554"/>
      <c r="CV312" s="554"/>
      <c r="CW312" s="554"/>
      <c r="CX312" s="554"/>
      <c r="CY312" s="554"/>
      <c r="CZ312" s="554"/>
      <c r="DA312" s="554"/>
      <c r="DB312" s="554"/>
      <c r="DC312" s="554"/>
      <c r="DD312" s="554"/>
      <c r="DE312" s="534"/>
      <c r="DF312" s="534"/>
      <c r="DG312" s="534"/>
    </row>
    <row r="313" spans="1:111" ht="15" x14ac:dyDescent="0.25">
      <c r="A313" s="549">
        <f>IFERROR(IF(INDEX('Weather Cases'!$E$10:$E$94,MATCH('Load Criteria'!X313,'Weather Cases'!$H$10:$H$94,0),1)=1,1,"-"),"-")</f>
        <v>1</v>
      </c>
      <c r="B313" s="555" t="s">
        <v>558</v>
      </c>
      <c r="C313" s="556" t="str">
        <f>IF('Weather Cases'!$E$44=0,"","DC/SC")</f>
        <v>DC/SC</v>
      </c>
      <c r="D313" s="555" t="s">
        <v>579</v>
      </c>
      <c r="E313" s="556">
        <v>1</v>
      </c>
      <c r="F313" s="556" t="s">
        <v>22</v>
      </c>
      <c r="G313" s="556" t="str">
        <f>IFERROR(IF(MID('Load Criteria'!X313,FIND("_",'Load Criteria'!X313,1)+1,1)=LEFT(Control!$D$23,1),"YES","-"),"-")</f>
        <v>-</v>
      </c>
      <c r="H313" s="549" t="s">
        <v>22</v>
      </c>
      <c r="I313" s="557" t="s">
        <v>331</v>
      </c>
      <c r="J313" s="550">
        <f>Control!$D$25</f>
        <v>1</v>
      </c>
      <c r="K313" s="508" t="s">
        <v>571</v>
      </c>
      <c r="L313" s="508" t="s">
        <v>24</v>
      </c>
      <c r="M313" s="508">
        <v>3</v>
      </c>
      <c r="N313" s="550"/>
      <c r="O313" s="550"/>
      <c r="P313" s="392"/>
      <c r="Q313" s="392"/>
      <c r="R313" s="392"/>
      <c r="S313" s="392"/>
      <c r="T313" s="392"/>
      <c r="U313" s="255" t="s">
        <v>574</v>
      </c>
      <c r="V313" s="551"/>
      <c r="W313" s="542" t="str">
        <f t="shared" si="494"/>
        <v>RS0001_8+TA3 NA-</v>
      </c>
      <c r="X313" s="552" t="str">
        <f>I313&amp;TEXT(J313,"0000")&amp;"_"&amp;LEFT(Control!$D$22,LEN(Control!$D$22)-2)</f>
        <v>RS0001_8</v>
      </c>
      <c r="Y313" s="552" t="s">
        <v>433</v>
      </c>
      <c r="Z313" s="552" t="str">
        <f t="shared" si="476"/>
        <v>NA-</v>
      </c>
      <c r="AA313" s="552"/>
      <c r="AB313" s="552">
        <v>1</v>
      </c>
      <c r="AC313" s="552">
        <v>1</v>
      </c>
      <c r="AD313" s="552">
        <v>1</v>
      </c>
      <c r="AE313" s="552">
        <v>1</v>
      </c>
      <c r="AF313" s="552">
        <v>1</v>
      </c>
      <c r="AG313" s="542" t="s">
        <v>561</v>
      </c>
      <c r="AH313" s="552">
        <v>0</v>
      </c>
      <c r="AI313" s="552">
        <v>0</v>
      </c>
      <c r="AJ313" s="552">
        <v>1</v>
      </c>
      <c r="AK313" s="552">
        <v>1</v>
      </c>
      <c r="AL313" s="552">
        <v>1</v>
      </c>
      <c r="AM313" s="552">
        <v>0</v>
      </c>
      <c r="AN313" s="552">
        <v>0</v>
      </c>
      <c r="AO313" s="552">
        <v>1</v>
      </c>
      <c r="AP313" s="552">
        <v>1</v>
      </c>
      <c r="AQ313" s="552">
        <v>1</v>
      </c>
      <c r="AR313" s="552">
        <v>1</v>
      </c>
      <c r="AS313" s="552">
        <v>1</v>
      </c>
      <c r="AT313" s="552">
        <v>1</v>
      </c>
      <c r="AU313" s="552">
        <v>1</v>
      </c>
      <c r="AV313" s="592" t="s">
        <v>1132</v>
      </c>
      <c r="AW313" s="552" t="s">
        <v>562</v>
      </c>
      <c r="AX313" s="552"/>
      <c r="AY313" s="552" t="str">
        <f t="shared" si="474"/>
        <v>Yes</v>
      </c>
      <c r="AZ313" s="554" t="str">
        <f t="shared" si="477"/>
        <v>3:1:Ahead</v>
      </c>
      <c r="BA313" s="554" t="str">
        <f t="shared" si="478"/>
        <v>Broken Wire (# Broken Subconductors)</v>
      </c>
      <c r="BB313" s="552">
        <f t="shared" si="479"/>
        <v>4</v>
      </c>
      <c r="BC313" s="554" t="str">
        <f t="shared" si="480"/>
        <v>13:1:Ahead</v>
      </c>
      <c r="BD313" s="554" t="str">
        <f t="shared" si="481"/>
        <v>Broken Wire (# Broken Subconductors)</v>
      </c>
      <c r="BE313" s="552">
        <f t="shared" si="482"/>
        <v>4</v>
      </c>
      <c r="BF313" s="554" t="str">
        <f t="shared" si="510"/>
        <v/>
      </c>
      <c r="BG313" s="554" t="str">
        <f t="shared" si="483"/>
        <v/>
      </c>
      <c r="BH313" s="552" t="str">
        <f t="shared" si="484"/>
        <v/>
      </c>
      <c r="BI313" s="554" t="str">
        <f t="shared" si="485"/>
        <v/>
      </c>
      <c r="BJ313" s="554" t="str">
        <f t="shared" si="486"/>
        <v/>
      </c>
      <c r="BK313" s="552" t="str">
        <f t="shared" si="487"/>
        <v/>
      </c>
      <c r="BL313" s="554" t="str">
        <f t="shared" si="488"/>
        <v/>
      </c>
      <c r="BM313" s="554" t="str">
        <f t="shared" si="489"/>
        <v/>
      </c>
      <c r="BN313" s="552" t="str">
        <f t="shared" si="490"/>
        <v/>
      </c>
      <c r="BO313" s="554" t="str">
        <f t="shared" si="491"/>
        <v/>
      </c>
      <c r="BP313" s="554" t="str">
        <f t="shared" si="492"/>
        <v/>
      </c>
      <c r="BQ313" s="552" t="str">
        <f t="shared" si="493"/>
        <v/>
      </c>
      <c r="BR313" s="554"/>
      <c r="BS313" s="554"/>
      <c r="BT313" s="554"/>
      <c r="BU313" s="554"/>
      <c r="BV313" s="554"/>
      <c r="BW313" s="554"/>
      <c r="BX313" s="554"/>
      <c r="BY313" s="554"/>
      <c r="BZ313" s="554"/>
      <c r="CA313" s="554"/>
      <c r="CB313" s="554"/>
      <c r="CC313" s="554"/>
      <c r="CD313" s="554"/>
      <c r="CE313" s="554"/>
      <c r="CF313" s="554"/>
      <c r="CG313" s="554"/>
      <c r="CH313" s="554"/>
      <c r="CI313" s="554"/>
      <c r="CJ313" s="554"/>
      <c r="CK313" s="554"/>
      <c r="CL313" s="554"/>
      <c r="CM313" s="554"/>
      <c r="CN313" s="554"/>
      <c r="CO313" s="554"/>
      <c r="CP313" s="554"/>
      <c r="CQ313" s="554"/>
      <c r="CR313" s="554"/>
      <c r="CS313" s="554"/>
      <c r="CT313" s="554"/>
      <c r="CU313" s="554"/>
      <c r="CV313" s="554"/>
      <c r="CW313" s="554"/>
      <c r="CX313" s="554"/>
      <c r="CY313" s="554"/>
      <c r="CZ313" s="554"/>
      <c r="DA313" s="554"/>
      <c r="DB313" s="554"/>
      <c r="DC313" s="554"/>
      <c r="DD313" s="554"/>
      <c r="DE313" s="534"/>
      <c r="DF313" s="534"/>
      <c r="DG313" s="534"/>
    </row>
    <row r="314" spans="1:111" ht="15" x14ac:dyDescent="0.25">
      <c r="A314" s="549">
        <f>IFERROR(IF(INDEX('Weather Cases'!$E$10:$E$94,MATCH('Load Criteria'!X314,'Weather Cases'!$H$10:$H$94,0),1)=1,1,"-"),"-")</f>
        <v>1</v>
      </c>
      <c r="B314" s="555" t="s">
        <v>558</v>
      </c>
      <c r="C314" s="556" t="str">
        <f>IF('Weather Cases'!$E$44=0,"","DC/SC")</f>
        <v>DC/SC</v>
      </c>
      <c r="D314" s="555" t="s">
        <v>579</v>
      </c>
      <c r="E314" s="556">
        <v>1</v>
      </c>
      <c r="F314" s="556" t="s">
        <v>22</v>
      </c>
      <c r="G314" s="556" t="str">
        <f>IFERROR(IF(MID('Load Criteria'!X314,FIND("_",'Load Criteria'!X314,1)+1,1)=LEFT(Control!$D$23,1),"YES","-"),"-")</f>
        <v>-</v>
      </c>
      <c r="H314" s="549" t="s">
        <v>22</v>
      </c>
      <c r="I314" s="557" t="s">
        <v>331</v>
      </c>
      <c r="J314" s="550">
        <f>Control!$D$25</f>
        <v>1</v>
      </c>
      <c r="K314" s="508" t="s">
        <v>571</v>
      </c>
      <c r="L314" s="508" t="s">
        <v>40</v>
      </c>
      <c r="M314" s="508">
        <v>3</v>
      </c>
      <c r="N314" s="550"/>
      <c r="O314" s="550"/>
      <c r="P314" s="392"/>
      <c r="Q314" s="392"/>
      <c r="R314" s="392"/>
      <c r="S314" s="392"/>
      <c r="T314" s="392"/>
      <c r="U314" s="255" t="s">
        <v>574</v>
      </c>
      <c r="V314" s="551"/>
      <c r="W314" s="542" t="str">
        <f t="shared" si="494"/>
        <v>RS0001_8+TB3 NA-</v>
      </c>
      <c r="X314" s="552" t="str">
        <f>I314&amp;TEXT(J314,"0000")&amp;"_"&amp;LEFT(Control!$D$22,LEN(Control!$D$22)-2)</f>
        <v>RS0001_8</v>
      </c>
      <c r="Y314" s="552" t="s">
        <v>433</v>
      </c>
      <c r="Z314" s="552" t="str">
        <f t="shared" si="476"/>
        <v>NA-</v>
      </c>
      <c r="AA314" s="552"/>
      <c r="AB314" s="552">
        <v>1</v>
      </c>
      <c r="AC314" s="552">
        <v>1</v>
      </c>
      <c r="AD314" s="552">
        <v>1</v>
      </c>
      <c r="AE314" s="552">
        <v>1</v>
      </c>
      <c r="AF314" s="552">
        <v>1</v>
      </c>
      <c r="AG314" s="542" t="s">
        <v>561</v>
      </c>
      <c r="AH314" s="552">
        <v>0</v>
      </c>
      <c r="AI314" s="552">
        <v>0</v>
      </c>
      <c r="AJ314" s="552">
        <v>1</v>
      </c>
      <c r="AK314" s="552">
        <v>1</v>
      </c>
      <c r="AL314" s="552">
        <v>1</v>
      </c>
      <c r="AM314" s="552">
        <v>0</v>
      </c>
      <c r="AN314" s="552">
        <v>0</v>
      </c>
      <c r="AO314" s="552">
        <v>1</v>
      </c>
      <c r="AP314" s="552">
        <v>1</v>
      </c>
      <c r="AQ314" s="552">
        <v>1</v>
      </c>
      <c r="AR314" s="552">
        <v>1</v>
      </c>
      <c r="AS314" s="552">
        <v>1</v>
      </c>
      <c r="AT314" s="552">
        <v>1</v>
      </c>
      <c r="AU314" s="552">
        <v>1</v>
      </c>
      <c r="AV314" s="592" t="s">
        <v>1132</v>
      </c>
      <c r="AW314" s="552" t="s">
        <v>562</v>
      </c>
      <c r="AX314" s="552"/>
      <c r="AY314" s="552" t="str">
        <f t="shared" si="474"/>
        <v>Yes</v>
      </c>
      <c r="AZ314" s="554" t="str">
        <f t="shared" si="477"/>
        <v>3:1:Back</v>
      </c>
      <c r="BA314" s="554" t="str">
        <f t="shared" si="478"/>
        <v>Broken Wire (# Broken Subconductors)</v>
      </c>
      <c r="BB314" s="552">
        <f t="shared" si="479"/>
        <v>4</v>
      </c>
      <c r="BC314" s="554" t="str">
        <f t="shared" si="480"/>
        <v>13:1:Back</v>
      </c>
      <c r="BD314" s="554" t="str">
        <f t="shared" si="481"/>
        <v>Broken Wire (# Broken Subconductors)</v>
      </c>
      <c r="BE314" s="552">
        <f t="shared" si="482"/>
        <v>4</v>
      </c>
      <c r="BF314" s="554" t="str">
        <f t="shared" si="510"/>
        <v/>
      </c>
      <c r="BG314" s="554" t="str">
        <f t="shared" si="483"/>
        <v/>
      </c>
      <c r="BH314" s="552" t="str">
        <f t="shared" si="484"/>
        <v/>
      </c>
      <c r="BI314" s="554" t="str">
        <f t="shared" si="485"/>
        <v/>
      </c>
      <c r="BJ314" s="554" t="str">
        <f t="shared" si="486"/>
        <v/>
      </c>
      <c r="BK314" s="552" t="str">
        <f t="shared" si="487"/>
        <v/>
      </c>
      <c r="BL314" s="554" t="str">
        <f t="shared" si="488"/>
        <v/>
      </c>
      <c r="BM314" s="554" t="str">
        <f t="shared" si="489"/>
        <v/>
      </c>
      <c r="BN314" s="552" t="str">
        <f t="shared" si="490"/>
        <v/>
      </c>
      <c r="BO314" s="554" t="str">
        <f t="shared" si="491"/>
        <v/>
      </c>
      <c r="BP314" s="554" t="str">
        <f t="shared" si="492"/>
        <v/>
      </c>
      <c r="BQ314" s="552" t="str">
        <f t="shared" si="493"/>
        <v/>
      </c>
      <c r="BR314" s="554"/>
      <c r="BS314" s="554"/>
      <c r="BT314" s="554"/>
      <c r="BU314" s="554"/>
      <c r="BV314" s="554"/>
      <c r="BW314" s="554"/>
      <c r="BX314" s="554"/>
      <c r="BY314" s="554"/>
      <c r="BZ314" s="554"/>
      <c r="CA314" s="554"/>
      <c r="CB314" s="554"/>
      <c r="CC314" s="554"/>
      <c r="CD314" s="554"/>
      <c r="CE314" s="554"/>
      <c r="CF314" s="554"/>
      <c r="CG314" s="554"/>
      <c r="CH314" s="554"/>
      <c r="CI314" s="554"/>
      <c r="CJ314" s="554"/>
      <c r="CK314" s="554"/>
      <c r="CL314" s="554"/>
      <c r="CM314" s="554"/>
      <c r="CN314" s="554"/>
      <c r="CO314" s="554"/>
      <c r="CP314" s="554"/>
      <c r="CQ314" s="554"/>
      <c r="CR314" s="554"/>
      <c r="CS314" s="554"/>
      <c r="CT314" s="554"/>
      <c r="CU314" s="554"/>
      <c r="CV314" s="554"/>
      <c r="CW314" s="554"/>
      <c r="CX314" s="554"/>
      <c r="CY314" s="554"/>
      <c r="CZ314" s="554"/>
      <c r="DA314" s="554"/>
      <c r="DB314" s="554"/>
      <c r="DC314" s="554"/>
      <c r="DD314" s="554"/>
      <c r="DE314" s="534"/>
      <c r="DF314" s="534"/>
      <c r="DG314" s="534"/>
    </row>
    <row r="315" spans="1:111" ht="15" x14ac:dyDescent="0.25">
      <c r="A315" s="549">
        <f>IFERROR(IF(INDEX('Weather Cases'!$E$10:$E$94,MATCH('Load Criteria'!X315,'Weather Cases'!$H$10:$H$94,0),1)=1,1,"-"),"-")</f>
        <v>1</v>
      </c>
      <c r="B315" s="555" t="s">
        <v>558</v>
      </c>
      <c r="C315" s="556" t="str">
        <f>IF('Weather Cases'!$E$44=0,"","DC/SC")</f>
        <v>DC/SC</v>
      </c>
      <c r="D315" s="555" t="s">
        <v>579</v>
      </c>
      <c r="E315" s="556">
        <v>1</v>
      </c>
      <c r="F315" s="556" t="s">
        <v>22</v>
      </c>
      <c r="G315" s="556" t="str">
        <f>IFERROR(IF(MID('Load Criteria'!X315,FIND("_",'Load Criteria'!X315,1)+1,1)=LEFT(Control!$D$23,1),"YES","-"),"-")</f>
        <v>-</v>
      </c>
      <c r="H315" s="549" t="s">
        <v>22</v>
      </c>
      <c r="I315" s="557" t="s">
        <v>331</v>
      </c>
      <c r="J315" s="550">
        <f>Control!$D$25</f>
        <v>1</v>
      </c>
      <c r="K315" s="508" t="s">
        <v>571</v>
      </c>
      <c r="L315" s="508" t="s">
        <v>24</v>
      </c>
      <c r="M315" s="594">
        <v>4</v>
      </c>
      <c r="N315" s="550"/>
      <c r="O315" s="550"/>
      <c r="P315" s="392"/>
      <c r="Q315" s="392"/>
      <c r="R315" s="392"/>
      <c r="S315" s="392"/>
      <c r="T315" s="392"/>
      <c r="U315" s="255" t="s">
        <v>574</v>
      </c>
      <c r="V315" s="551"/>
      <c r="W315" s="542" t="str">
        <f t="shared" ref="W315:W320" si="511">X315&amp;"+"&amp;K315&amp;IF(L315="","",CONCATENATE(L315,M315,N315,O315))&amp;" "&amp;U315</f>
        <v>RS0001_8+TA4 NA-</v>
      </c>
      <c r="X315" s="552" t="str">
        <f>I315&amp;TEXT(J315,"0000")&amp;"_"&amp;LEFT(Control!$D$22,LEN(Control!$D$22)-2)</f>
        <v>RS0001_8</v>
      </c>
      <c r="Y315" s="552" t="s">
        <v>433</v>
      </c>
      <c r="Z315" s="552" t="str">
        <f t="shared" ref="Z315:Z320" si="512">U315</f>
        <v>NA-</v>
      </c>
      <c r="AA315" s="552"/>
      <c r="AB315" s="552">
        <v>1</v>
      </c>
      <c r="AC315" s="552">
        <v>1</v>
      </c>
      <c r="AD315" s="552">
        <v>1</v>
      </c>
      <c r="AE315" s="552">
        <v>1</v>
      </c>
      <c r="AF315" s="552">
        <v>1</v>
      </c>
      <c r="AG315" s="542" t="s">
        <v>561</v>
      </c>
      <c r="AH315" s="552">
        <v>0</v>
      </c>
      <c r="AI315" s="552">
        <v>0</v>
      </c>
      <c r="AJ315" s="552">
        <v>1</v>
      </c>
      <c r="AK315" s="552">
        <v>1</v>
      </c>
      <c r="AL315" s="552">
        <v>1</v>
      </c>
      <c r="AM315" s="552">
        <v>0</v>
      </c>
      <c r="AN315" s="552">
        <v>0</v>
      </c>
      <c r="AO315" s="552">
        <v>1</v>
      </c>
      <c r="AP315" s="552">
        <v>1</v>
      </c>
      <c r="AQ315" s="552">
        <v>1</v>
      </c>
      <c r="AR315" s="552">
        <v>1</v>
      </c>
      <c r="AS315" s="552">
        <v>1</v>
      </c>
      <c r="AT315" s="552">
        <v>1</v>
      </c>
      <c r="AU315" s="552">
        <v>1</v>
      </c>
      <c r="AV315" s="592" t="s">
        <v>1132</v>
      </c>
      <c r="AW315" s="552" t="s">
        <v>562</v>
      </c>
      <c r="AX315" s="552"/>
      <c r="AY315" s="552" t="str">
        <f t="shared" ref="AY315:AY320" si="513">IF(L315="","No","Yes")</f>
        <v>Yes</v>
      </c>
      <c r="AZ315" s="554" t="str">
        <f t="shared" si="477"/>
        <v>4:1:Ahead</v>
      </c>
      <c r="BA315" s="554" t="str">
        <f t="shared" ref="BA315:BA320" si="514">IF(AZ315="","","Broken Wire (# Broken Subconductors)")</f>
        <v>Broken Wire (# Broken Subconductors)</v>
      </c>
      <c r="BB315" s="552">
        <f t="shared" ref="BB315:BB320" si="515">IF(AZ315="","",4)</f>
        <v>4</v>
      </c>
      <c r="BC315" s="554" t="str">
        <f t="shared" si="480"/>
        <v>14:1:Ahead</v>
      </c>
      <c r="BD315" s="554" t="str">
        <f t="shared" ref="BD315:BD320" si="516">IF(BC315="","","Broken Wire (# Broken Subconductors)")</f>
        <v>Broken Wire (# Broken Subconductors)</v>
      </c>
      <c r="BE315" s="552">
        <f t="shared" ref="BE315:BE320" si="517">IF(BC315="","",4)</f>
        <v>4</v>
      </c>
      <c r="BF315" s="554" t="str">
        <f t="shared" si="510"/>
        <v/>
      </c>
      <c r="BG315" s="554" t="str">
        <f t="shared" ref="BG315:BG320" si="518">IF(BF315="","","Broken Wire (# Broken Subconductors)")</f>
        <v/>
      </c>
      <c r="BH315" s="552" t="str">
        <f t="shared" ref="BH315:BH320" si="519">IF(BF315="","",4)</f>
        <v/>
      </c>
      <c r="BI315" s="554" t="str">
        <f t="shared" si="485"/>
        <v/>
      </c>
      <c r="BJ315" s="554" t="str">
        <f t="shared" ref="BJ315:BJ320" si="520">IF(BI315="","","Broken Wire (# Broken Subconductors)")</f>
        <v/>
      </c>
      <c r="BK315" s="552" t="str">
        <f t="shared" ref="BK315:BK320" si="521">IF(BI315="","",4)</f>
        <v/>
      </c>
      <c r="BL315" s="554" t="str">
        <f t="shared" si="488"/>
        <v/>
      </c>
      <c r="BM315" s="554" t="str">
        <f t="shared" ref="BM315:BM320" si="522">IF(BL315="","","Broken Wire (# Broken Subconductors)")</f>
        <v/>
      </c>
      <c r="BN315" s="552" t="str">
        <f t="shared" ref="BN315:BN320" si="523">IF(BL315="","",4)</f>
        <v/>
      </c>
      <c r="BO315" s="554" t="str">
        <f t="shared" si="491"/>
        <v/>
      </c>
      <c r="BP315" s="554" t="str">
        <f t="shared" ref="BP315:BP320" si="524">IF(BO315="","","Broken Wire (# Broken Subconductors)")</f>
        <v/>
      </c>
      <c r="BQ315" s="552" t="str">
        <f t="shared" ref="BQ315:BQ320" si="525">IF(BO315="","",4)</f>
        <v/>
      </c>
      <c r="BR315" s="554"/>
      <c r="BS315" s="554"/>
      <c r="BT315" s="554"/>
      <c r="BU315" s="554"/>
      <c r="BV315" s="554"/>
      <c r="BW315" s="554"/>
      <c r="BX315" s="554"/>
      <c r="BY315" s="554"/>
      <c r="BZ315" s="554"/>
      <c r="CA315" s="554"/>
      <c r="CB315" s="554"/>
      <c r="CC315" s="554"/>
      <c r="CD315" s="554"/>
      <c r="CE315" s="554"/>
      <c r="CF315" s="554"/>
      <c r="CG315" s="554"/>
      <c r="CH315" s="554"/>
      <c r="CI315" s="554"/>
      <c r="CJ315" s="554"/>
      <c r="CK315" s="554"/>
      <c r="CL315" s="554"/>
      <c r="CM315" s="554"/>
      <c r="CN315" s="554"/>
      <c r="CO315" s="554"/>
      <c r="CP315" s="554"/>
      <c r="CQ315" s="554"/>
      <c r="CR315" s="554"/>
      <c r="CS315" s="554"/>
      <c r="CT315" s="554"/>
      <c r="CU315" s="554"/>
      <c r="CV315" s="554"/>
      <c r="CW315" s="554"/>
      <c r="CX315" s="554"/>
      <c r="CY315" s="554"/>
      <c r="CZ315" s="554"/>
      <c r="DA315" s="554"/>
      <c r="DB315" s="554"/>
      <c r="DC315" s="554"/>
      <c r="DD315" s="554"/>
      <c r="DE315" s="534"/>
      <c r="DF315" s="534"/>
      <c r="DG315" s="534"/>
    </row>
    <row r="316" spans="1:111" ht="15" x14ac:dyDescent="0.25">
      <c r="A316" s="549">
        <f>IFERROR(IF(INDEX('Weather Cases'!$E$10:$E$94,MATCH('Load Criteria'!X316,'Weather Cases'!$H$10:$H$94,0),1)=1,1,"-"),"-")</f>
        <v>1</v>
      </c>
      <c r="B316" s="555" t="s">
        <v>558</v>
      </c>
      <c r="C316" s="556" t="str">
        <f>IF('Weather Cases'!$E$44=0,"","DC/SC")</f>
        <v>DC/SC</v>
      </c>
      <c r="D316" s="555" t="s">
        <v>579</v>
      </c>
      <c r="E316" s="556">
        <v>1</v>
      </c>
      <c r="F316" s="556" t="s">
        <v>22</v>
      </c>
      <c r="G316" s="556" t="str">
        <f>IFERROR(IF(MID('Load Criteria'!X316,FIND("_",'Load Criteria'!X316,1)+1,1)=LEFT(Control!$D$23,1),"YES","-"),"-")</f>
        <v>-</v>
      </c>
      <c r="H316" s="549" t="s">
        <v>22</v>
      </c>
      <c r="I316" s="557" t="s">
        <v>331</v>
      </c>
      <c r="J316" s="550">
        <f>Control!$D$25</f>
        <v>1</v>
      </c>
      <c r="K316" s="508" t="s">
        <v>571</v>
      </c>
      <c r="L316" s="508" t="s">
        <v>40</v>
      </c>
      <c r="M316" s="594">
        <v>4</v>
      </c>
      <c r="N316" s="550"/>
      <c r="O316" s="550"/>
      <c r="P316" s="392"/>
      <c r="Q316" s="392"/>
      <c r="R316" s="392"/>
      <c r="S316" s="392"/>
      <c r="T316" s="392"/>
      <c r="U316" s="255" t="s">
        <v>574</v>
      </c>
      <c r="V316" s="551"/>
      <c r="W316" s="542" t="str">
        <f t="shared" si="511"/>
        <v>RS0001_8+TB4 NA-</v>
      </c>
      <c r="X316" s="552" t="str">
        <f>I316&amp;TEXT(J316,"0000")&amp;"_"&amp;LEFT(Control!$D$22,LEN(Control!$D$22)-2)</f>
        <v>RS0001_8</v>
      </c>
      <c r="Y316" s="552" t="s">
        <v>433</v>
      </c>
      <c r="Z316" s="552" t="str">
        <f t="shared" si="512"/>
        <v>NA-</v>
      </c>
      <c r="AA316" s="552"/>
      <c r="AB316" s="552">
        <v>1</v>
      </c>
      <c r="AC316" s="552">
        <v>1</v>
      </c>
      <c r="AD316" s="552">
        <v>1</v>
      </c>
      <c r="AE316" s="552">
        <v>1</v>
      </c>
      <c r="AF316" s="552">
        <v>1</v>
      </c>
      <c r="AG316" s="542" t="s">
        <v>561</v>
      </c>
      <c r="AH316" s="552">
        <v>0</v>
      </c>
      <c r="AI316" s="552">
        <v>0</v>
      </c>
      <c r="AJ316" s="552">
        <v>1</v>
      </c>
      <c r="AK316" s="552">
        <v>1</v>
      </c>
      <c r="AL316" s="552">
        <v>1</v>
      </c>
      <c r="AM316" s="552">
        <v>0</v>
      </c>
      <c r="AN316" s="552">
        <v>0</v>
      </c>
      <c r="AO316" s="552">
        <v>1</v>
      </c>
      <c r="AP316" s="552">
        <v>1</v>
      </c>
      <c r="AQ316" s="552">
        <v>1</v>
      </c>
      <c r="AR316" s="552">
        <v>1</v>
      </c>
      <c r="AS316" s="552">
        <v>1</v>
      </c>
      <c r="AT316" s="552">
        <v>1</v>
      </c>
      <c r="AU316" s="552">
        <v>1</v>
      </c>
      <c r="AV316" s="592" t="s">
        <v>1132</v>
      </c>
      <c r="AW316" s="552" t="s">
        <v>562</v>
      </c>
      <c r="AX316" s="552"/>
      <c r="AY316" s="552" t="str">
        <f t="shared" si="513"/>
        <v>Yes</v>
      </c>
      <c r="AZ316" s="554" t="str">
        <f t="shared" si="477"/>
        <v>4:1:Back</v>
      </c>
      <c r="BA316" s="554" t="str">
        <f t="shared" si="514"/>
        <v>Broken Wire (# Broken Subconductors)</v>
      </c>
      <c r="BB316" s="552">
        <f t="shared" si="515"/>
        <v>4</v>
      </c>
      <c r="BC316" s="554" t="str">
        <f t="shared" si="480"/>
        <v>14:1:Back</v>
      </c>
      <c r="BD316" s="554" t="str">
        <f t="shared" si="516"/>
        <v>Broken Wire (# Broken Subconductors)</v>
      </c>
      <c r="BE316" s="552">
        <f t="shared" si="517"/>
        <v>4</v>
      </c>
      <c r="BF316" s="554" t="str">
        <f t="shared" si="510"/>
        <v/>
      </c>
      <c r="BG316" s="554" t="str">
        <f t="shared" si="518"/>
        <v/>
      </c>
      <c r="BH316" s="552" t="str">
        <f t="shared" si="519"/>
        <v/>
      </c>
      <c r="BI316" s="554" t="str">
        <f t="shared" si="485"/>
        <v/>
      </c>
      <c r="BJ316" s="554" t="str">
        <f t="shared" si="520"/>
        <v/>
      </c>
      <c r="BK316" s="552" t="str">
        <f t="shared" si="521"/>
        <v/>
      </c>
      <c r="BL316" s="554" t="str">
        <f t="shared" si="488"/>
        <v/>
      </c>
      <c r="BM316" s="554" t="str">
        <f t="shared" si="522"/>
        <v/>
      </c>
      <c r="BN316" s="552" t="str">
        <f t="shared" si="523"/>
        <v/>
      </c>
      <c r="BO316" s="554" t="str">
        <f t="shared" si="491"/>
        <v/>
      </c>
      <c r="BP316" s="554" t="str">
        <f t="shared" si="524"/>
        <v/>
      </c>
      <c r="BQ316" s="552" t="str">
        <f t="shared" si="525"/>
        <v/>
      </c>
      <c r="BR316" s="554"/>
      <c r="BS316" s="554"/>
      <c r="BT316" s="554"/>
      <c r="BU316" s="554"/>
      <c r="BV316" s="554"/>
      <c r="BW316" s="554"/>
      <c r="BX316" s="554"/>
      <c r="BY316" s="554"/>
      <c r="BZ316" s="554"/>
      <c r="CA316" s="554"/>
      <c r="CB316" s="554"/>
      <c r="CC316" s="554"/>
      <c r="CD316" s="554"/>
      <c r="CE316" s="554"/>
      <c r="CF316" s="554"/>
      <c r="CG316" s="554"/>
      <c r="CH316" s="554"/>
      <c r="CI316" s="554"/>
      <c r="CJ316" s="554"/>
      <c r="CK316" s="554"/>
      <c r="CL316" s="554"/>
      <c r="CM316" s="554"/>
      <c r="CN316" s="554"/>
      <c r="CO316" s="554"/>
      <c r="CP316" s="554"/>
      <c r="CQ316" s="554"/>
      <c r="CR316" s="554"/>
      <c r="CS316" s="554"/>
      <c r="CT316" s="554"/>
      <c r="CU316" s="554"/>
      <c r="CV316" s="554"/>
      <c r="CW316" s="554"/>
      <c r="CX316" s="554"/>
      <c r="CY316" s="554"/>
      <c r="CZ316" s="554"/>
      <c r="DA316" s="554"/>
      <c r="DB316" s="554"/>
      <c r="DC316" s="554"/>
      <c r="DD316" s="554"/>
      <c r="DE316" s="534"/>
      <c r="DF316" s="534"/>
      <c r="DG316" s="534"/>
    </row>
    <row r="317" spans="1:111" ht="15" x14ac:dyDescent="0.25">
      <c r="A317" s="549">
        <f>IFERROR(IF(INDEX('Weather Cases'!$E$10:$E$94,MATCH('Load Criteria'!X317,'Weather Cases'!$H$10:$H$94,0),1)=1,1,"-"),"-")</f>
        <v>1</v>
      </c>
      <c r="B317" s="555" t="s">
        <v>558</v>
      </c>
      <c r="C317" s="556" t="str">
        <f>IF('Weather Cases'!$E$44=0,"","DC/SC")</f>
        <v>DC/SC</v>
      </c>
      <c r="D317" s="555" t="s">
        <v>579</v>
      </c>
      <c r="E317" s="556">
        <v>1</v>
      </c>
      <c r="F317" s="556" t="s">
        <v>22</v>
      </c>
      <c r="G317" s="556" t="str">
        <f>IFERROR(IF(MID('Load Criteria'!X317,FIND("_",'Load Criteria'!X317,1)+1,1)=LEFT(Control!$D$23,1),"YES","-"),"-")</f>
        <v>-</v>
      </c>
      <c r="H317" s="549" t="s">
        <v>22</v>
      </c>
      <c r="I317" s="557" t="s">
        <v>331</v>
      </c>
      <c r="J317" s="550">
        <f>Control!$D$25</f>
        <v>1</v>
      </c>
      <c r="K317" s="508" t="s">
        <v>571</v>
      </c>
      <c r="L317" s="508" t="s">
        <v>24</v>
      </c>
      <c r="M317" s="594">
        <v>5</v>
      </c>
      <c r="N317" s="550"/>
      <c r="O317" s="550"/>
      <c r="P317" s="392"/>
      <c r="Q317" s="392"/>
      <c r="R317" s="392"/>
      <c r="S317" s="392"/>
      <c r="T317" s="392"/>
      <c r="U317" s="255" t="s">
        <v>574</v>
      </c>
      <c r="V317" s="551"/>
      <c r="W317" s="542" t="str">
        <f t="shared" si="511"/>
        <v>RS0001_8+TA5 NA-</v>
      </c>
      <c r="X317" s="552" t="str">
        <f>I317&amp;TEXT(J317,"0000")&amp;"_"&amp;LEFT(Control!$D$22,LEN(Control!$D$22)-2)</f>
        <v>RS0001_8</v>
      </c>
      <c r="Y317" s="552" t="s">
        <v>433</v>
      </c>
      <c r="Z317" s="552" t="str">
        <f t="shared" si="512"/>
        <v>NA-</v>
      </c>
      <c r="AA317" s="552"/>
      <c r="AB317" s="552">
        <v>1</v>
      </c>
      <c r="AC317" s="552">
        <v>1</v>
      </c>
      <c r="AD317" s="552">
        <v>1</v>
      </c>
      <c r="AE317" s="552">
        <v>1</v>
      </c>
      <c r="AF317" s="552">
        <v>1</v>
      </c>
      <c r="AG317" s="542" t="s">
        <v>561</v>
      </c>
      <c r="AH317" s="552">
        <v>0</v>
      </c>
      <c r="AI317" s="552">
        <v>0</v>
      </c>
      <c r="AJ317" s="552">
        <v>1</v>
      </c>
      <c r="AK317" s="552">
        <v>1</v>
      </c>
      <c r="AL317" s="552">
        <v>1</v>
      </c>
      <c r="AM317" s="552">
        <v>0</v>
      </c>
      <c r="AN317" s="552">
        <v>0</v>
      </c>
      <c r="AO317" s="552">
        <v>1</v>
      </c>
      <c r="AP317" s="552">
        <v>1</v>
      </c>
      <c r="AQ317" s="552">
        <v>1</v>
      </c>
      <c r="AR317" s="552">
        <v>1</v>
      </c>
      <c r="AS317" s="552">
        <v>1</v>
      </c>
      <c r="AT317" s="552">
        <v>1</v>
      </c>
      <c r="AU317" s="552">
        <v>1</v>
      </c>
      <c r="AV317" s="592" t="s">
        <v>1132</v>
      </c>
      <c r="AW317" s="552" t="s">
        <v>562</v>
      </c>
      <c r="AX317" s="552"/>
      <c r="AY317" s="552" t="str">
        <f t="shared" si="513"/>
        <v>Yes</v>
      </c>
      <c r="AZ317" s="554" t="str">
        <f t="shared" si="477"/>
        <v>5:1:Ahead</v>
      </c>
      <c r="BA317" s="554" t="str">
        <f t="shared" si="514"/>
        <v>Broken Wire (# Broken Subconductors)</v>
      </c>
      <c r="BB317" s="552">
        <f t="shared" si="515"/>
        <v>4</v>
      </c>
      <c r="BC317" s="554" t="str">
        <f t="shared" si="480"/>
        <v>15:1:Ahead</v>
      </c>
      <c r="BD317" s="554" t="str">
        <f t="shared" si="516"/>
        <v>Broken Wire (# Broken Subconductors)</v>
      </c>
      <c r="BE317" s="552">
        <f t="shared" si="517"/>
        <v>4</v>
      </c>
      <c r="BF317" s="554" t="str">
        <f t="shared" si="510"/>
        <v/>
      </c>
      <c r="BG317" s="554" t="str">
        <f t="shared" si="518"/>
        <v/>
      </c>
      <c r="BH317" s="552" t="str">
        <f t="shared" si="519"/>
        <v/>
      </c>
      <c r="BI317" s="554" t="str">
        <f t="shared" si="485"/>
        <v/>
      </c>
      <c r="BJ317" s="554" t="str">
        <f t="shared" si="520"/>
        <v/>
      </c>
      <c r="BK317" s="552" t="str">
        <f t="shared" si="521"/>
        <v/>
      </c>
      <c r="BL317" s="554" t="str">
        <f t="shared" si="488"/>
        <v/>
      </c>
      <c r="BM317" s="554" t="str">
        <f t="shared" si="522"/>
        <v/>
      </c>
      <c r="BN317" s="552" t="str">
        <f t="shared" si="523"/>
        <v/>
      </c>
      <c r="BO317" s="554" t="str">
        <f t="shared" si="491"/>
        <v/>
      </c>
      <c r="BP317" s="554" t="str">
        <f t="shared" si="524"/>
        <v/>
      </c>
      <c r="BQ317" s="552" t="str">
        <f t="shared" si="525"/>
        <v/>
      </c>
      <c r="BR317" s="554"/>
      <c r="BS317" s="554"/>
      <c r="BT317" s="554"/>
      <c r="BU317" s="554"/>
      <c r="BV317" s="554"/>
      <c r="BW317" s="554"/>
      <c r="BX317" s="554"/>
      <c r="BY317" s="554"/>
      <c r="BZ317" s="554"/>
      <c r="CA317" s="554"/>
      <c r="CB317" s="554"/>
      <c r="CC317" s="554"/>
      <c r="CD317" s="554"/>
      <c r="CE317" s="554"/>
      <c r="CF317" s="554"/>
      <c r="CG317" s="554"/>
      <c r="CH317" s="554"/>
      <c r="CI317" s="554"/>
      <c r="CJ317" s="554"/>
      <c r="CK317" s="554"/>
      <c r="CL317" s="554"/>
      <c r="CM317" s="554"/>
      <c r="CN317" s="554"/>
      <c r="CO317" s="554"/>
      <c r="CP317" s="554"/>
      <c r="CQ317" s="554"/>
      <c r="CR317" s="554"/>
      <c r="CS317" s="554"/>
      <c r="CT317" s="554"/>
      <c r="CU317" s="554"/>
      <c r="CV317" s="554"/>
      <c r="CW317" s="554"/>
      <c r="CX317" s="554"/>
      <c r="CY317" s="554"/>
      <c r="CZ317" s="554"/>
      <c r="DA317" s="554"/>
      <c r="DB317" s="554"/>
      <c r="DC317" s="554"/>
      <c r="DD317" s="554"/>
      <c r="DE317" s="534"/>
      <c r="DF317" s="534"/>
      <c r="DG317" s="534"/>
    </row>
    <row r="318" spans="1:111" ht="15" x14ac:dyDescent="0.25">
      <c r="A318" s="549">
        <f>IFERROR(IF(INDEX('Weather Cases'!$E$10:$E$94,MATCH('Load Criteria'!X318,'Weather Cases'!$H$10:$H$94,0),1)=1,1,"-"),"-")</f>
        <v>1</v>
      </c>
      <c r="B318" s="555" t="s">
        <v>558</v>
      </c>
      <c r="C318" s="556" t="str">
        <f>IF('Weather Cases'!$E$44=0,"","DC/SC")</f>
        <v>DC/SC</v>
      </c>
      <c r="D318" s="555" t="s">
        <v>579</v>
      </c>
      <c r="E318" s="556">
        <v>1</v>
      </c>
      <c r="F318" s="556" t="s">
        <v>22</v>
      </c>
      <c r="G318" s="556" t="str">
        <f>IFERROR(IF(MID('Load Criteria'!X318,FIND("_",'Load Criteria'!X318,1)+1,1)=LEFT(Control!$D$23,1),"YES","-"),"-")</f>
        <v>-</v>
      </c>
      <c r="H318" s="549" t="s">
        <v>22</v>
      </c>
      <c r="I318" s="557" t="s">
        <v>331</v>
      </c>
      <c r="J318" s="550">
        <f>Control!$D$25</f>
        <v>1</v>
      </c>
      <c r="K318" s="508" t="s">
        <v>571</v>
      </c>
      <c r="L318" s="508" t="s">
        <v>40</v>
      </c>
      <c r="M318" s="594">
        <v>5</v>
      </c>
      <c r="N318" s="550"/>
      <c r="O318" s="550"/>
      <c r="P318" s="392"/>
      <c r="Q318" s="392"/>
      <c r="R318" s="392"/>
      <c r="S318" s="392"/>
      <c r="T318" s="392"/>
      <c r="U318" s="255" t="s">
        <v>574</v>
      </c>
      <c r="V318" s="551"/>
      <c r="W318" s="542" t="str">
        <f t="shared" si="511"/>
        <v>RS0001_8+TB5 NA-</v>
      </c>
      <c r="X318" s="552" t="str">
        <f>I318&amp;TEXT(J318,"0000")&amp;"_"&amp;LEFT(Control!$D$22,LEN(Control!$D$22)-2)</f>
        <v>RS0001_8</v>
      </c>
      <c r="Y318" s="552" t="s">
        <v>433</v>
      </c>
      <c r="Z318" s="552" t="str">
        <f t="shared" si="512"/>
        <v>NA-</v>
      </c>
      <c r="AA318" s="552"/>
      <c r="AB318" s="552">
        <v>1</v>
      </c>
      <c r="AC318" s="552">
        <v>1</v>
      </c>
      <c r="AD318" s="552">
        <v>1</v>
      </c>
      <c r="AE318" s="552">
        <v>1</v>
      </c>
      <c r="AF318" s="552">
        <v>1</v>
      </c>
      <c r="AG318" s="542" t="s">
        <v>561</v>
      </c>
      <c r="AH318" s="552">
        <v>0</v>
      </c>
      <c r="AI318" s="552">
        <v>0</v>
      </c>
      <c r="AJ318" s="552">
        <v>1</v>
      </c>
      <c r="AK318" s="552">
        <v>1</v>
      </c>
      <c r="AL318" s="552">
        <v>1</v>
      </c>
      <c r="AM318" s="552">
        <v>0</v>
      </c>
      <c r="AN318" s="552">
        <v>0</v>
      </c>
      <c r="AO318" s="552">
        <v>1</v>
      </c>
      <c r="AP318" s="552">
        <v>1</v>
      </c>
      <c r="AQ318" s="552">
        <v>1</v>
      </c>
      <c r="AR318" s="552">
        <v>1</v>
      </c>
      <c r="AS318" s="552">
        <v>1</v>
      </c>
      <c r="AT318" s="552">
        <v>1</v>
      </c>
      <c r="AU318" s="552">
        <v>1</v>
      </c>
      <c r="AV318" s="592" t="s">
        <v>1132</v>
      </c>
      <c r="AW318" s="552" t="s">
        <v>562</v>
      </c>
      <c r="AX318" s="552"/>
      <c r="AY318" s="552" t="str">
        <f t="shared" si="513"/>
        <v>Yes</v>
      </c>
      <c r="AZ318" s="554" t="str">
        <f t="shared" si="477"/>
        <v>5:1:Back</v>
      </c>
      <c r="BA318" s="554" t="str">
        <f t="shared" si="514"/>
        <v>Broken Wire (# Broken Subconductors)</v>
      </c>
      <c r="BB318" s="552">
        <f t="shared" si="515"/>
        <v>4</v>
      </c>
      <c r="BC318" s="554" t="str">
        <f t="shared" si="480"/>
        <v>15:1:Back</v>
      </c>
      <c r="BD318" s="554" t="str">
        <f t="shared" si="516"/>
        <v>Broken Wire (# Broken Subconductors)</v>
      </c>
      <c r="BE318" s="552">
        <f t="shared" si="517"/>
        <v>4</v>
      </c>
      <c r="BF318" s="554" t="str">
        <f t="shared" si="510"/>
        <v/>
      </c>
      <c r="BG318" s="554" t="str">
        <f t="shared" si="518"/>
        <v/>
      </c>
      <c r="BH318" s="552" t="str">
        <f t="shared" si="519"/>
        <v/>
      </c>
      <c r="BI318" s="554" t="str">
        <f t="shared" si="485"/>
        <v/>
      </c>
      <c r="BJ318" s="554" t="str">
        <f t="shared" si="520"/>
        <v/>
      </c>
      <c r="BK318" s="552" t="str">
        <f t="shared" si="521"/>
        <v/>
      </c>
      <c r="BL318" s="554" t="str">
        <f t="shared" si="488"/>
        <v/>
      </c>
      <c r="BM318" s="554" t="str">
        <f t="shared" si="522"/>
        <v/>
      </c>
      <c r="BN318" s="552" t="str">
        <f t="shared" si="523"/>
        <v/>
      </c>
      <c r="BO318" s="554" t="str">
        <f t="shared" si="491"/>
        <v/>
      </c>
      <c r="BP318" s="554" t="str">
        <f t="shared" si="524"/>
        <v/>
      </c>
      <c r="BQ318" s="552" t="str">
        <f t="shared" si="525"/>
        <v/>
      </c>
      <c r="BR318" s="554"/>
      <c r="BS318" s="554"/>
      <c r="BT318" s="554"/>
      <c r="BU318" s="554"/>
      <c r="BV318" s="554"/>
      <c r="BW318" s="554"/>
      <c r="BX318" s="554"/>
      <c r="BY318" s="554"/>
      <c r="BZ318" s="554"/>
      <c r="CA318" s="554"/>
      <c r="CB318" s="554"/>
      <c r="CC318" s="554"/>
      <c r="CD318" s="554"/>
      <c r="CE318" s="554"/>
      <c r="CF318" s="554"/>
      <c r="CG318" s="554"/>
      <c r="CH318" s="554"/>
      <c r="CI318" s="554"/>
      <c r="CJ318" s="554"/>
      <c r="CK318" s="554"/>
      <c r="CL318" s="554"/>
      <c r="CM318" s="554"/>
      <c r="CN318" s="554"/>
      <c r="CO318" s="554"/>
      <c r="CP318" s="554"/>
      <c r="CQ318" s="554"/>
      <c r="CR318" s="554"/>
      <c r="CS318" s="554"/>
      <c r="CT318" s="554"/>
      <c r="CU318" s="554"/>
      <c r="CV318" s="554"/>
      <c r="CW318" s="554"/>
      <c r="CX318" s="554"/>
      <c r="CY318" s="554"/>
      <c r="CZ318" s="554"/>
      <c r="DA318" s="554"/>
      <c r="DB318" s="554"/>
      <c r="DC318" s="554"/>
      <c r="DD318" s="554"/>
      <c r="DE318" s="534"/>
      <c r="DF318" s="534"/>
      <c r="DG318" s="534"/>
    </row>
    <row r="319" spans="1:111" ht="15" x14ac:dyDescent="0.25">
      <c r="A319" s="549">
        <f>IFERROR(IF(INDEX('Weather Cases'!$E$10:$E$94,MATCH('Load Criteria'!X319,'Weather Cases'!$H$10:$H$94,0),1)=1,1,"-"),"-")</f>
        <v>1</v>
      </c>
      <c r="B319" s="555" t="s">
        <v>558</v>
      </c>
      <c r="C319" s="556" t="str">
        <f>IF('Weather Cases'!$E$44=0,"","DC/SC")</f>
        <v>DC/SC</v>
      </c>
      <c r="D319" s="555" t="s">
        <v>579</v>
      </c>
      <c r="E319" s="556">
        <v>1</v>
      </c>
      <c r="F319" s="556" t="s">
        <v>22</v>
      </c>
      <c r="G319" s="556" t="str">
        <f>IFERROR(IF(MID('Load Criteria'!X319,FIND("_",'Load Criteria'!X319,1)+1,1)=LEFT(Control!$D$23,1),"YES","-"),"-")</f>
        <v>-</v>
      </c>
      <c r="H319" s="549" t="s">
        <v>22</v>
      </c>
      <c r="I319" s="557" t="s">
        <v>331</v>
      </c>
      <c r="J319" s="550">
        <f>Control!$D$25</f>
        <v>1</v>
      </c>
      <c r="K319" s="508" t="s">
        <v>571</v>
      </c>
      <c r="L319" s="508" t="s">
        <v>24</v>
      </c>
      <c r="M319" s="594">
        <v>6</v>
      </c>
      <c r="N319" s="550"/>
      <c r="O319" s="550"/>
      <c r="P319" s="392"/>
      <c r="Q319" s="392"/>
      <c r="R319" s="392"/>
      <c r="S319" s="392"/>
      <c r="T319" s="392"/>
      <c r="U319" s="255" t="s">
        <v>574</v>
      </c>
      <c r="V319" s="551"/>
      <c r="W319" s="542" t="str">
        <f t="shared" si="511"/>
        <v>RS0001_8+TA6 NA-</v>
      </c>
      <c r="X319" s="552" t="str">
        <f>I319&amp;TEXT(J319,"0000")&amp;"_"&amp;LEFT(Control!$D$22,LEN(Control!$D$22)-2)</f>
        <v>RS0001_8</v>
      </c>
      <c r="Y319" s="552" t="s">
        <v>433</v>
      </c>
      <c r="Z319" s="552" t="str">
        <f t="shared" si="512"/>
        <v>NA-</v>
      </c>
      <c r="AA319" s="552"/>
      <c r="AB319" s="552">
        <v>1</v>
      </c>
      <c r="AC319" s="552">
        <v>1</v>
      </c>
      <c r="AD319" s="552">
        <v>1</v>
      </c>
      <c r="AE319" s="552">
        <v>1</v>
      </c>
      <c r="AF319" s="552">
        <v>1</v>
      </c>
      <c r="AG319" s="542" t="s">
        <v>561</v>
      </c>
      <c r="AH319" s="552">
        <v>0</v>
      </c>
      <c r="AI319" s="552">
        <v>0</v>
      </c>
      <c r="AJ319" s="552">
        <v>1</v>
      </c>
      <c r="AK319" s="552">
        <v>1</v>
      </c>
      <c r="AL319" s="552">
        <v>1</v>
      </c>
      <c r="AM319" s="552">
        <v>0</v>
      </c>
      <c r="AN319" s="552">
        <v>0</v>
      </c>
      <c r="AO319" s="552">
        <v>1</v>
      </c>
      <c r="AP319" s="552">
        <v>1</v>
      </c>
      <c r="AQ319" s="552">
        <v>1</v>
      </c>
      <c r="AR319" s="552">
        <v>1</v>
      </c>
      <c r="AS319" s="552">
        <v>1</v>
      </c>
      <c r="AT319" s="552">
        <v>1</v>
      </c>
      <c r="AU319" s="552">
        <v>1</v>
      </c>
      <c r="AV319" s="592" t="s">
        <v>1132</v>
      </c>
      <c r="AW319" s="552" t="s">
        <v>562</v>
      </c>
      <c r="AX319" s="552"/>
      <c r="AY319" s="552" t="str">
        <f t="shared" si="513"/>
        <v>Yes</v>
      </c>
      <c r="AZ319" s="554" t="str">
        <f t="shared" si="477"/>
        <v>6:1:Ahead</v>
      </c>
      <c r="BA319" s="554" t="str">
        <f t="shared" si="514"/>
        <v>Broken Wire (# Broken Subconductors)</v>
      </c>
      <c r="BB319" s="552">
        <f t="shared" si="515"/>
        <v>4</v>
      </c>
      <c r="BC319" s="554" t="str">
        <f t="shared" si="480"/>
        <v>16:1:Ahead</v>
      </c>
      <c r="BD319" s="554" t="str">
        <f t="shared" si="516"/>
        <v>Broken Wire (# Broken Subconductors)</v>
      </c>
      <c r="BE319" s="552">
        <f t="shared" si="517"/>
        <v>4</v>
      </c>
      <c r="BF319" s="554" t="str">
        <f t="shared" si="510"/>
        <v/>
      </c>
      <c r="BG319" s="554" t="str">
        <f t="shared" si="518"/>
        <v/>
      </c>
      <c r="BH319" s="552" t="str">
        <f t="shared" si="519"/>
        <v/>
      </c>
      <c r="BI319" s="554" t="str">
        <f t="shared" si="485"/>
        <v/>
      </c>
      <c r="BJ319" s="554" t="str">
        <f t="shared" si="520"/>
        <v/>
      </c>
      <c r="BK319" s="552" t="str">
        <f t="shared" si="521"/>
        <v/>
      </c>
      <c r="BL319" s="554" t="str">
        <f t="shared" si="488"/>
        <v/>
      </c>
      <c r="BM319" s="554" t="str">
        <f t="shared" si="522"/>
        <v/>
      </c>
      <c r="BN319" s="552" t="str">
        <f t="shared" si="523"/>
        <v/>
      </c>
      <c r="BO319" s="554" t="str">
        <f t="shared" si="491"/>
        <v/>
      </c>
      <c r="BP319" s="554" t="str">
        <f t="shared" si="524"/>
        <v/>
      </c>
      <c r="BQ319" s="552" t="str">
        <f t="shared" si="525"/>
        <v/>
      </c>
      <c r="BR319" s="554"/>
      <c r="BS319" s="554"/>
      <c r="BT319" s="554"/>
      <c r="BU319" s="554"/>
      <c r="BV319" s="554"/>
      <c r="BW319" s="554"/>
      <c r="BX319" s="554"/>
      <c r="BY319" s="554"/>
      <c r="BZ319" s="554"/>
      <c r="CA319" s="554"/>
      <c r="CB319" s="554"/>
      <c r="CC319" s="554"/>
      <c r="CD319" s="554"/>
      <c r="CE319" s="554"/>
      <c r="CF319" s="554"/>
      <c r="CG319" s="554"/>
      <c r="CH319" s="554"/>
      <c r="CI319" s="554"/>
      <c r="CJ319" s="554"/>
      <c r="CK319" s="554"/>
      <c r="CL319" s="554"/>
      <c r="CM319" s="554"/>
      <c r="CN319" s="554"/>
      <c r="CO319" s="554"/>
      <c r="CP319" s="554"/>
      <c r="CQ319" s="554"/>
      <c r="CR319" s="554"/>
      <c r="CS319" s="554"/>
      <c r="CT319" s="554"/>
      <c r="CU319" s="554"/>
      <c r="CV319" s="554"/>
      <c r="CW319" s="554"/>
      <c r="CX319" s="554"/>
      <c r="CY319" s="554"/>
      <c r="CZ319" s="554"/>
      <c r="DA319" s="554"/>
      <c r="DB319" s="554"/>
      <c r="DC319" s="554"/>
      <c r="DD319" s="554"/>
      <c r="DE319" s="534"/>
      <c r="DF319" s="534"/>
      <c r="DG319" s="534"/>
    </row>
    <row r="320" spans="1:111" ht="15" x14ac:dyDescent="0.25">
      <c r="A320" s="549">
        <f>IFERROR(IF(INDEX('Weather Cases'!$E$10:$E$94,MATCH('Load Criteria'!X320,'Weather Cases'!$H$10:$H$94,0),1)=1,1,"-"),"-")</f>
        <v>1</v>
      </c>
      <c r="B320" s="555" t="s">
        <v>558</v>
      </c>
      <c r="C320" s="556" t="str">
        <f>IF('Weather Cases'!$E$44=0,"","DC/SC")</f>
        <v>DC/SC</v>
      </c>
      <c r="D320" s="555" t="s">
        <v>579</v>
      </c>
      <c r="E320" s="556">
        <v>1</v>
      </c>
      <c r="F320" s="556" t="s">
        <v>22</v>
      </c>
      <c r="G320" s="556" t="str">
        <f>IFERROR(IF(MID('Load Criteria'!X320,FIND("_",'Load Criteria'!X320,1)+1,1)=LEFT(Control!$D$23,1),"YES","-"),"-")</f>
        <v>-</v>
      </c>
      <c r="H320" s="549" t="s">
        <v>22</v>
      </c>
      <c r="I320" s="557" t="s">
        <v>331</v>
      </c>
      <c r="J320" s="550">
        <f>Control!$D$25</f>
        <v>1</v>
      </c>
      <c r="K320" s="508" t="s">
        <v>571</v>
      </c>
      <c r="L320" s="508" t="s">
        <v>40</v>
      </c>
      <c r="M320" s="594">
        <v>6</v>
      </c>
      <c r="N320" s="550"/>
      <c r="O320" s="550"/>
      <c r="P320" s="392"/>
      <c r="Q320" s="392"/>
      <c r="R320" s="392"/>
      <c r="S320" s="392"/>
      <c r="T320" s="392"/>
      <c r="U320" s="255" t="s">
        <v>574</v>
      </c>
      <c r="V320" s="551"/>
      <c r="W320" s="542" t="str">
        <f t="shared" si="511"/>
        <v>RS0001_8+TB6 NA-</v>
      </c>
      <c r="X320" s="552" t="str">
        <f>I320&amp;TEXT(J320,"0000")&amp;"_"&amp;LEFT(Control!$D$22,LEN(Control!$D$22)-2)</f>
        <v>RS0001_8</v>
      </c>
      <c r="Y320" s="552" t="s">
        <v>433</v>
      </c>
      <c r="Z320" s="552" t="str">
        <f t="shared" si="512"/>
        <v>NA-</v>
      </c>
      <c r="AA320" s="552"/>
      <c r="AB320" s="552">
        <v>1</v>
      </c>
      <c r="AC320" s="552">
        <v>1</v>
      </c>
      <c r="AD320" s="552">
        <v>1</v>
      </c>
      <c r="AE320" s="552">
        <v>1</v>
      </c>
      <c r="AF320" s="552">
        <v>1</v>
      </c>
      <c r="AG320" s="542" t="s">
        <v>561</v>
      </c>
      <c r="AH320" s="552">
        <v>0</v>
      </c>
      <c r="AI320" s="552">
        <v>0</v>
      </c>
      <c r="AJ320" s="552">
        <v>1</v>
      </c>
      <c r="AK320" s="552">
        <v>1</v>
      </c>
      <c r="AL320" s="552">
        <v>1</v>
      </c>
      <c r="AM320" s="552">
        <v>0</v>
      </c>
      <c r="AN320" s="552">
        <v>0</v>
      </c>
      <c r="AO320" s="552">
        <v>1</v>
      </c>
      <c r="AP320" s="552">
        <v>1</v>
      </c>
      <c r="AQ320" s="552">
        <v>1</v>
      </c>
      <c r="AR320" s="552">
        <v>1</v>
      </c>
      <c r="AS320" s="552">
        <v>1</v>
      </c>
      <c r="AT320" s="552">
        <v>1</v>
      </c>
      <c r="AU320" s="552">
        <v>1</v>
      </c>
      <c r="AV320" s="592" t="s">
        <v>1132</v>
      </c>
      <c r="AW320" s="552" t="s">
        <v>562</v>
      </c>
      <c r="AX320" s="552"/>
      <c r="AY320" s="552" t="str">
        <f t="shared" si="513"/>
        <v>Yes</v>
      </c>
      <c r="AZ320" s="554" t="str">
        <f t="shared" si="477"/>
        <v>6:1:Back</v>
      </c>
      <c r="BA320" s="554" t="str">
        <f t="shared" si="514"/>
        <v>Broken Wire (# Broken Subconductors)</v>
      </c>
      <c r="BB320" s="552">
        <f t="shared" si="515"/>
        <v>4</v>
      </c>
      <c r="BC320" s="554" t="str">
        <f t="shared" si="480"/>
        <v>16:1:Back</v>
      </c>
      <c r="BD320" s="554" t="str">
        <f t="shared" si="516"/>
        <v>Broken Wire (# Broken Subconductors)</v>
      </c>
      <c r="BE320" s="552">
        <f t="shared" si="517"/>
        <v>4</v>
      </c>
      <c r="BF320" s="554" t="str">
        <f t="shared" si="510"/>
        <v/>
      </c>
      <c r="BG320" s="554" t="str">
        <f t="shared" si="518"/>
        <v/>
      </c>
      <c r="BH320" s="552" t="str">
        <f t="shared" si="519"/>
        <v/>
      </c>
      <c r="BI320" s="554" t="str">
        <f t="shared" si="485"/>
        <v/>
      </c>
      <c r="BJ320" s="554" t="str">
        <f t="shared" si="520"/>
        <v/>
      </c>
      <c r="BK320" s="552" t="str">
        <f t="shared" si="521"/>
        <v/>
      </c>
      <c r="BL320" s="554" t="str">
        <f t="shared" si="488"/>
        <v/>
      </c>
      <c r="BM320" s="554" t="str">
        <f t="shared" si="522"/>
        <v/>
      </c>
      <c r="BN320" s="552" t="str">
        <f t="shared" si="523"/>
        <v/>
      </c>
      <c r="BO320" s="554" t="str">
        <f t="shared" si="491"/>
        <v/>
      </c>
      <c r="BP320" s="554" t="str">
        <f t="shared" si="524"/>
        <v/>
      </c>
      <c r="BQ320" s="552" t="str">
        <f t="shared" si="525"/>
        <v/>
      </c>
      <c r="BR320" s="554"/>
      <c r="BS320" s="554"/>
      <c r="BT320" s="554"/>
      <c r="BU320" s="554"/>
      <c r="BV320" s="554"/>
      <c r="BW320" s="554"/>
      <c r="BX320" s="554"/>
      <c r="BY320" s="554"/>
      <c r="BZ320" s="554"/>
      <c r="CA320" s="554"/>
      <c r="CB320" s="554"/>
      <c r="CC320" s="554"/>
      <c r="CD320" s="554"/>
      <c r="CE320" s="554"/>
      <c r="CF320" s="554"/>
      <c r="CG320" s="554"/>
      <c r="CH320" s="554"/>
      <c r="CI320" s="554"/>
      <c r="CJ320" s="554"/>
      <c r="CK320" s="554"/>
      <c r="CL320" s="554"/>
      <c r="CM320" s="554"/>
      <c r="CN320" s="554"/>
      <c r="CO320" s="554"/>
      <c r="CP320" s="554"/>
      <c r="CQ320" s="554"/>
      <c r="CR320" s="554"/>
      <c r="CS320" s="554"/>
      <c r="CT320" s="554"/>
      <c r="CU320" s="554"/>
      <c r="CV320" s="554"/>
      <c r="CW320" s="554"/>
      <c r="CX320" s="554"/>
      <c r="CY320" s="554"/>
      <c r="CZ320" s="554"/>
      <c r="DA320" s="554"/>
      <c r="DB320" s="554"/>
      <c r="DC320" s="554"/>
      <c r="DD320" s="554"/>
      <c r="DE320" s="534"/>
      <c r="DF320" s="534"/>
      <c r="DG320" s="534"/>
    </row>
    <row r="321" spans="1:111" ht="15" x14ac:dyDescent="0.25">
      <c r="A321" s="549">
        <f>IFERROR(IF(INDEX('Weather Cases'!$E$10:$E$94,MATCH('Load Criteria'!X321,'Weather Cases'!$H$10:$H$94,0),1)=1,1,"-"),"-")</f>
        <v>1</v>
      </c>
      <c r="B321" s="555" t="s">
        <v>558</v>
      </c>
      <c r="C321" s="556" t="str">
        <f>IF('Weather Cases'!$E$44=0,"","DC/SC")</f>
        <v>DC/SC</v>
      </c>
      <c r="D321" s="555" t="s">
        <v>579</v>
      </c>
      <c r="E321" s="556">
        <v>1</v>
      </c>
      <c r="F321" s="555" t="s">
        <v>580</v>
      </c>
      <c r="G321" s="556" t="str">
        <f>IFERROR(IF(MID('Load Criteria'!X321,FIND("_",'Load Criteria'!X321,1)+1,1)=LEFT(Control!$D$23,1),"YES","-"),"-")</f>
        <v>-</v>
      </c>
      <c r="H321" s="549" t="s">
        <v>22</v>
      </c>
      <c r="I321" s="557" t="s">
        <v>331</v>
      </c>
      <c r="J321" s="550">
        <f>Control!$D$25</f>
        <v>1</v>
      </c>
      <c r="K321" s="508" t="s">
        <v>571</v>
      </c>
      <c r="L321" s="508" t="s">
        <v>24</v>
      </c>
      <c r="M321" s="550">
        <v>7</v>
      </c>
      <c r="N321" s="550"/>
      <c r="O321" s="550"/>
      <c r="P321" s="392"/>
      <c r="Q321" s="392"/>
      <c r="R321" s="392"/>
      <c r="S321" s="392"/>
      <c r="T321" s="392"/>
      <c r="U321" s="255" t="s">
        <v>574</v>
      </c>
      <c r="V321" s="551"/>
      <c r="W321" s="542" t="str">
        <f t="shared" si="494"/>
        <v>RS0001_8+TA7 NA-</v>
      </c>
      <c r="X321" s="552" t="str">
        <f>I321&amp;TEXT(J321,"0000")&amp;"_"&amp;LEFT(Control!$D$22,LEN(Control!$D$22)-2)</f>
        <v>RS0001_8</v>
      </c>
      <c r="Y321" s="552" t="s">
        <v>433</v>
      </c>
      <c r="Z321" s="552" t="str">
        <f t="shared" si="476"/>
        <v>NA-</v>
      </c>
      <c r="AA321" s="552"/>
      <c r="AB321" s="552">
        <v>1</v>
      </c>
      <c r="AC321" s="552">
        <v>1</v>
      </c>
      <c r="AD321" s="552">
        <v>1</v>
      </c>
      <c r="AE321" s="552">
        <v>1</v>
      </c>
      <c r="AF321" s="552">
        <v>1</v>
      </c>
      <c r="AG321" s="542" t="s">
        <v>561</v>
      </c>
      <c r="AH321" s="552">
        <v>0</v>
      </c>
      <c r="AI321" s="552">
        <v>0</v>
      </c>
      <c r="AJ321" s="552">
        <v>1</v>
      </c>
      <c r="AK321" s="552">
        <v>1</v>
      </c>
      <c r="AL321" s="552">
        <v>1</v>
      </c>
      <c r="AM321" s="552">
        <v>0</v>
      </c>
      <c r="AN321" s="552">
        <v>0</v>
      </c>
      <c r="AO321" s="552">
        <v>1</v>
      </c>
      <c r="AP321" s="552">
        <v>1</v>
      </c>
      <c r="AQ321" s="552">
        <v>1</v>
      </c>
      <c r="AR321" s="552">
        <v>1</v>
      </c>
      <c r="AS321" s="552">
        <v>1</v>
      </c>
      <c r="AT321" s="552">
        <v>1</v>
      </c>
      <c r="AU321" s="552">
        <v>1</v>
      </c>
      <c r="AV321" s="592" t="s">
        <v>1132</v>
      </c>
      <c r="AW321" s="552" t="s">
        <v>562</v>
      </c>
      <c r="AX321" s="552"/>
      <c r="AY321" s="552" t="str">
        <f t="shared" si="474"/>
        <v>Yes</v>
      </c>
      <c r="AZ321" s="554" t="str">
        <f t="shared" si="477"/>
        <v>7:1:Ahead</v>
      </c>
      <c r="BA321" s="554" t="str">
        <f t="shared" si="478"/>
        <v>Broken Wire (# Broken Subconductors)</v>
      </c>
      <c r="BB321" s="552">
        <f t="shared" si="479"/>
        <v>4</v>
      </c>
      <c r="BC321" s="554" t="str">
        <f t="shared" si="480"/>
        <v>17:1:Ahead</v>
      </c>
      <c r="BD321" s="554" t="str">
        <f t="shared" si="481"/>
        <v>Broken Wire (# Broken Subconductors)</v>
      </c>
      <c r="BE321" s="552">
        <f t="shared" si="482"/>
        <v>4</v>
      </c>
      <c r="BF321" s="554" t="str">
        <f t="shared" si="510"/>
        <v/>
      </c>
      <c r="BG321" s="554" t="str">
        <f t="shared" si="483"/>
        <v/>
      </c>
      <c r="BH321" s="552" t="str">
        <f t="shared" si="484"/>
        <v/>
      </c>
      <c r="BI321" s="554" t="str">
        <f t="shared" si="485"/>
        <v/>
      </c>
      <c r="BJ321" s="554" t="str">
        <f t="shared" si="486"/>
        <v/>
      </c>
      <c r="BK321" s="552" t="str">
        <f t="shared" si="487"/>
        <v/>
      </c>
      <c r="BL321" s="554" t="str">
        <f t="shared" si="488"/>
        <v/>
      </c>
      <c r="BM321" s="554" t="str">
        <f t="shared" si="489"/>
        <v/>
      </c>
      <c r="BN321" s="552" t="str">
        <f t="shared" si="490"/>
        <v/>
      </c>
      <c r="BO321" s="554" t="str">
        <f t="shared" si="491"/>
        <v/>
      </c>
      <c r="BP321" s="554" t="str">
        <f t="shared" si="492"/>
        <v/>
      </c>
      <c r="BQ321" s="552" t="str">
        <f t="shared" si="493"/>
        <v/>
      </c>
      <c r="BR321" s="554"/>
      <c r="BS321" s="554"/>
      <c r="BT321" s="554"/>
      <c r="BU321" s="554"/>
      <c r="BV321" s="554"/>
      <c r="BW321" s="554"/>
      <c r="BX321" s="554"/>
      <c r="BY321" s="554"/>
      <c r="BZ321" s="554"/>
      <c r="CA321" s="554"/>
      <c r="CB321" s="554"/>
      <c r="CC321" s="554"/>
      <c r="CD321" s="554"/>
      <c r="CE321" s="554"/>
      <c r="CF321" s="554"/>
      <c r="CG321" s="554"/>
      <c r="CH321" s="554"/>
      <c r="CI321" s="554"/>
      <c r="CJ321" s="554"/>
      <c r="CK321" s="554"/>
      <c r="CL321" s="554"/>
      <c r="CM321" s="554"/>
      <c r="CN321" s="554"/>
      <c r="CO321" s="554"/>
      <c r="CP321" s="554"/>
      <c r="CQ321" s="554"/>
      <c r="CR321" s="554"/>
      <c r="CS321" s="554"/>
      <c r="CT321" s="554"/>
      <c r="CU321" s="554"/>
      <c r="CV321" s="554"/>
      <c r="CW321" s="554"/>
      <c r="CX321" s="554"/>
      <c r="CY321" s="554"/>
      <c r="CZ321" s="554"/>
      <c r="DA321" s="554"/>
      <c r="DB321" s="554"/>
      <c r="DC321" s="554"/>
      <c r="DD321" s="554"/>
      <c r="DE321" s="534"/>
      <c r="DF321" s="534"/>
      <c r="DG321" s="534"/>
    </row>
    <row r="322" spans="1:111" ht="15" x14ac:dyDescent="0.25">
      <c r="A322" s="549">
        <f>IFERROR(IF(INDEX('Weather Cases'!$E$10:$E$94,MATCH('Load Criteria'!X322,'Weather Cases'!$H$10:$H$94,0),1)=1,1,"-"),"-")</f>
        <v>1</v>
      </c>
      <c r="B322" s="555" t="s">
        <v>558</v>
      </c>
      <c r="C322" s="556" t="str">
        <f>IF('Weather Cases'!$E$44=0,"","DC/SC")</f>
        <v>DC/SC</v>
      </c>
      <c r="D322" s="555" t="s">
        <v>579</v>
      </c>
      <c r="E322" s="556">
        <v>1</v>
      </c>
      <c r="F322" s="555" t="s">
        <v>580</v>
      </c>
      <c r="G322" s="556" t="str">
        <f>IFERROR(IF(MID('Load Criteria'!X322,FIND("_",'Load Criteria'!X322,1)+1,1)=LEFT(Control!$D$23,1),"YES","-"),"-")</f>
        <v>-</v>
      </c>
      <c r="H322" s="549" t="s">
        <v>22</v>
      </c>
      <c r="I322" s="557" t="s">
        <v>331</v>
      </c>
      <c r="J322" s="550">
        <f>Control!$D$25</f>
        <v>1</v>
      </c>
      <c r="K322" s="508" t="s">
        <v>571</v>
      </c>
      <c r="L322" s="508" t="s">
        <v>40</v>
      </c>
      <c r="M322" s="550">
        <v>7</v>
      </c>
      <c r="N322" s="550"/>
      <c r="O322" s="550"/>
      <c r="P322" s="392"/>
      <c r="Q322" s="392"/>
      <c r="R322" s="392"/>
      <c r="S322" s="392"/>
      <c r="T322" s="392"/>
      <c r="U322" s="255" t="s">
        <v>574</v>
      </c>
      <c r="V322" s="551"/>
      <c r="W322" s="542" t="str">
        <f t="shared" si="494"/>
        <v>RS0001_8+TB7 NA-</v>
      </c>
      <c r="X322" s="552" t="str">
        <f>I322&amp;TEXT(J322,"0000")&amp;"_"&amp;LEFT(Control!$D$22,LEN(Control!$D$22)-2)</f>
        <v>RS0001_8</v>
      </c>
      <c r="Y322" s="552" t="s">
        <v>433</v>
      </c>
      <c r="Z322" s="552" t="str">
        <f t="shared" si="476"/>
        <v>NA-</v>
      </c>
      <c r="AA322" s="552"/>
      <c r="AB322" s="552">
        <v>1</v>
      </c>
      <c r="AC322" s="552">
        <v>1</v>
      </c>
      <c r="AD322" s="552">
        <v>1</v>
      </c>
      <c r="AE322" s="552">
        <v>1</v>
      </c>
      <c r="AF322" s="552">
        <v>1</v>
      </c>
      <c r="AG322" s="542" t="s">
        <v>561</v>
      </c>
      <c r="AH322" s="552">
        <v>0</v>
      </c>
      <c r="AI322" s="552">
        <v>0</v>
      </c>
      <c r="AJ322" s="552">
        <v>1</v>
      </c>
      <c r="AK322" s="552">
        <v>1</v>
      </c>
      <c r="AL322" s="552">
        <v>1</v>
      </c>
      <c r="AM322" s="552">
        <v>0</v>
      </c>
      <c r="AN322" s="552">
        <v>0</v>
      </c>
      <c r="AO322" s="552">
        <v>1</v>
      </c>
      <c r="AP322" s="552">
        <v>1</v>
      </c>
      <c r="AQ322" s="552">
        <v>1</v>
      </c>
      <c r="AR322" s="552">
        <v>1</v>
      </c>
      <c r="AS322" s="552">
        <v>1</v>
      </c>
      <c r="AT322" s="552">
        <v>1</v>
      </c>
      <c r="AU322" s="552">
        <v>1</v>
      </c>
      <c r="AV322" s="592" t="s">
        <v>1132</v>
      </c>
      <c r="AW322" s="552" t="s">
        <v>562</v>
      </c>
      <c r="AX322" s="552"/>
      <c r="AY322" s="552" t="str">
        <f t="shared" si="474"/>
        <v>Yes</v>
      </c>
      <c r="AZ322" s="554" t="str">
        <f t="shared" si="477"/>
        <v>7:1:Back</v>
      </c>
      <c r="BA322" s="554" t="str">
        <f t="shared" si="478"/>
        <v>Broken Wire (# Broken Subconductors)</v>
      </c>
      <c r="BB322" s="552">
        <f t="shared" si="479"/>
        <v>4</v>
      </c>
      <c r="BC322" s="554" t="str">
        <f t="shared" si="480"/>
        <v>17:1:Back</v>
      </c>
      <c r="BD322" s="554" t="str">
        <f t="shared" si="481"/>
        <v>Broken Wire (# Broken Subconductors)</v>
      </c>
      <c r="BE322" s="552">
        <f t="shared" si="482"/>
        <v>4</v>
      </c>
      <c r="BF322" s="554" t="str">
        <f t="shared" si="510"/>
        <v/>
      </c>
      <c r="BG322" s="554" t="str">
        <f t="shared" si="483"/>
        <v/>
      </c>
      <c r="BH322" s="552" t="str">
        <f t="shared" si="484"/>
        <v/>
      </c>
      <c r="BI322" s="554" t="str">
        <f t="shared" si="485"/>
        <v/>
      </c>
      <c r="BJ322" s="554" t="str">
        <f t="shared" si="486"/>
        <v/>
      </c>
      <c r="BK322" s="552" t="str">
        <f t="shared" si="487"/>
        <v/>
      </c>
      <c r="BL322" s="554" t="str">
        <f t="shared" si="488"/>
        <v/>
      </c>
      <c r="BM322" s="554" t="str">
        <f t="shared" si="489"/>
        <v/>
      </c>
      <c r="BN322" s="552" t="str">
        <f t="shared" si="490"/>
        <v/>
      </c>
      <c r="BO322" s="554" t="str">
        <f t="shared" si="491"/>
        <v/>
      </c>
      <c r="BP322" s="554" t="str">
        <f t="shared" si="492"/>
        <v/>
      </c>
      <c r="BQ322" s="552" t="str">
        <f t="shared" si="493"/>
        <v/>
      </c>
      <c r="BR322" s="554"/>
      <c r="BS322" s="554"/>
      <c r="BT322" s="554"/>
      <c r="BU322" s="554"/>
      <c r="BV322" s="554"/>
      <c r="BW322" s="554"/>
      <c r="BX322" s="554"/>
      <c r="BY322" s="554"/>
      <c r="BZ322" s="554"/>
      <c r="CA322" s="554"/>
      <c r="CB322" s="554"/>
      <c r="CC322" s="554"/>
      <c r="CD322" s="554"/>
      <c r="CE322" s="554"/>
      <c r="CF322" s="554"/>
      <c r="CG322" s="554"/>
      <c r="CH322" s="554"/>
      <c r="CI322" s="554"/>
      <c r="CJ322" s="554"/>
      <c r="CK322" s="554"/>
      <c r="CL322" s="554"/>
      <c r="CM322" s="554"/>
      <c r="CN322" s="554"/>
      <c r="CO322" s="554"/>
      <c r="CP322" s="554"/>
      <c r="CQ322" s="554"/>
      <c r="CR322" s="554"/>
      <c r="CS322" s="554"/>
      <c r="CT322" s="554"/>
      <c r="CU322" s="554"/>
      <c r="CV322" s="554"/>
      <c r="CW322" s="554"/>
      <c r="CX322" s="554"/>
      <c r="CY322" s="554"/>
      <c r="CZ322" s="554"/>
      <c r="DA322" s="554"/>
      <c r="DB322" s="554"/>
      <c r="DC322" s="554"/>
      <c r="DD322" s="554"/>
      <c r="DE322" s="534"/>
      <c r="DF322" s="534"/>
      <c r="DG322" s="534"/>
    </row>
    <row r="323" spans="1:111" ht="15" x14ac:dyDescent="0.25">
      <c r="A323" s="549">
        <f>IFERROR(IF(INDEX('Weather Cases'!$E$10:$E$94,MATCH('Load Criteria'!X323,'Weather Cases'!$H$10:$H$94,0),1)=1,1,"-"),"-")</f>
        <v>1</v>
      </c>
      <c r="B323" s="555" t="s">
        <v>558</v>
      </c>
      <c r="C323" s="556" t="str">
        <f>IF('Weather Cases'!$E$44=0,"","DC/SC")</f>
        <v>DC/SC</v>
      </c>
      <c r="D323" s="555" t="s">
        <v>579</v>
      </c>
      <c r="E323" s="556">
        <v>1</v>
      </c>
      <c r="F323" s="555" t="s">
        <v>581</v>
      </c>
      <c r="G323" s="556" t="str">
        <f>IFERROR(IF(MID('Load Criteria'!X323,FIND("_",'Load Criteria'!X323,1)+1,1)=LEFT(Control!$D$23,1),"YES","-"),"-")</f>
        <v>-</v>
      </c>
      <c r="H323" s="549" t="s">
        <v>22</v>
      </c>
      <c r="I323" s="557" t="s">
        <v>331</v>
      </c>
      <c r="J323" s="550">
        <f>Control!$D$25</f>
        <v>1</v>
      </c>
      <c r="K323" s="508" t="s">
        <v>571</v>
      </c>
      <c r="L323" s="508" t="s">
        <v>24</v>
      </c>
      <c r="M323" s="550">
        <v>8</v>
      </c>
      <c r="N323" s="550"/>
      <c r="O323" s="550"/>
      <c r="P323" s="392"/>
      <c r="Q323" s="392"/>
      <c r="R323" s="392"/>
      <c r="S323" s="392"/>
      <c r="T323" s="392"/>
      <c r="U323" s="255" t="s">
        <v>574</v>
      </c>
      <c r="V323" s="551"/>
      <c r="W323" s="542" t="str">
        <f t="shared" si="494"/>
        <v>RS0001_8+TA8 NA-</v>
      </c>
      <c r="X323" s="552" t="str">
        <f>I323&amp;TEXT(J323,"0000")&amp;"_"&amp;LEFT(Control!$D$22,LEN(Control!$D$22)-2)</f>
        <v>RS0001_8</v>
      </c>
      <c r="Y323" s="552" t="s">
        <v>433</v>
      </c>
      <c r="Z323" s="552" t="str">
        <f t="shared" si="476"/>
        <v>NA-</v>
      </c>
      <c r="AA323" s="552"/>
      <c r="AB323" s="552">
        <v>1</v>
      </c>
      <c r="AC323" s="552">
        <v>1</v>
      </c>
      <c r="AD323" s="552">
        <v>1</v>
      </c>
      <c r="AE323" s="552">
        <v>1</v>
      </c>
      <c r="AF323" s="552">
        <v>1</v>
      </c>
      <c r="AG323" s="542" t="s">
        <v>561</v>
      </c>
      <c r="AH323" s="552">
        <v>0</v>
      </c>
      <c r="AI323" s="552">
        <v>0</v>
      </c>
      <c r="AJ323" s="552">
        <v>1</v>
      </c>
      <c r="AK323" s="552">
        <v>1</v>
      </c>
      <c r="AL323" s="552">
        <v>1</v>
      </c>
      <c r="AM323" s="552">
        <v>0</v>
      </c>
      <c r="AN323" s="552">
        <v>0</v>
      </c>
      <c r="AO323" s="552">
        <v>1</v>
      </c>
      <c r="AP323" s="552">
        <v>1</v>
      </c>
      <c r="AQ323" s="552">
        <v>1</v>
      </c>
      <c r="AR323" s="552">
        <v>1</v>
      </c>
      <c r="AS323" s="552">
        <v>1</v>
      </c>
      <c r="AT323" s="552">
        <v>1</v>
      </c>
      <c r="AU323" s="552">
        <v>1</v>
      </c>
      <c r="AV323" s="592" t="s">
        <v>1132</v>
      </c>
      <c r="AW323" s="552" t="s">
        <v>562</v>
      </c>
      <c r="AX323" s="552"/>
      <c r="AY323" s="552" t="str">
        <f t="shared" si="474"/>
        <v>Yes</v>
      </c>
      <c r="AZ323" s="554" t="str">
        <f t="shared" si="477"/>
        <v>8:1:Ahead</v>
      </c>
      <c r="BA323" s="554" t="str">
        <f t="shared" si="478"/>
        <v>Broken Wire (# Broken Subconductors)</v>
      </c>
      <c r="BB323" s="552">
        <f t="shared" si="479"/>
        <v>4</v>
      </c>
      <c r="BC323" s="554" t="str">
        <f t="shared" si="480"/>
        <v>18:1:Ahead</v>
      </c>
      <c r="BD323" s="554" t="str">
        <f t="shared" si="481"/>
        <v>Broken Wire (# Broken Subconductors)</v>
      </c>
      <c r="BE323" s="552">
        <f t="shared" si="482"/>
        <v>4</v>
      </c>
      <c r="BF323" s="554" t="str">
        <f t="shared" si="510"/>
        <v/>
      </c>
      <c r="BG323" s="554" t="str">
        <f t="shared" si="483"/>
        <v/>
      </c>
      <c r="BH323" s="552" t="str">
        <f t="shared" si="484"/>
        <v/>
      </c>
      <c r="BI323" s="554" t="str">
        <f t="shared" si="485"/>
        <v/>
      </c>
      <c r="BJ323" s="554" t="str">
        <f t="shared" si="486"/>
        <v/>
      </c>
      <c r="BK323" s="552" t="str">
        <f t="shared" si="487"/>
        <v/>
      </c>
      <c r="BL323" s="554" t="str">
        <f t="shared" si="488"/>
        <v/>
      </c>
      <c r="BM323" s="554" t="str">
        <f t="shared" si="489"/>
        <v/>
      </c>
      <c r="BN323" s="552" t="str">
        <f t="shared" si="490"/>
        <v/>
      </c>
      <c r="BO323" s="554" t="str">
        <f t="shared" si="491"/>
        <v/>
      </c>
      <c r="BP323" s="554" t="str">
        <f t="shared" si="492"/>
        <v/>
      </c>
      <c r="BQ323" s="552" t="str">
        <f t="shared" si="493"/>
        <v/>
      </c>
      <c r="BR323" s="554"/>
      <c r="BS323" s="554"/>
      <c r="BT323" s="554"/>
      <c r="BU323" s="554"/>
      <c r="BV323" s="554"/>
      <c r="BW323" s="554"/>
      <c r="BX323" s="554"/>
      <c r="BY323" s="554"/>
      <c r="BZ323" s="554"/>
      <c r="CA323" s="554"/>
      <c r="CB323" s="554"/>
      <c r="CC323" s="554"/>
      <c r="CD323" s="554"/>
      <c r="CE323" s="554"/>
      <c r="CF323" s="554"/>
      <c r="CG323" s="554"/>
      <c r="CH323" s="554"/>
      <c r="CI323" s="554"/>
      <c r="CJ323" s="554"/>
      <c r="CK323" s="554"/>
      <c r="CL323" s="554"/>
      <c r="CM323" s="554"/>
      <c r="CN323" s="554"/>
      <c r="CO323" s="554"/>
      <c r="CP323" s="554"/>
      <c r="CQ323" s="554"/>
      <c r="CR323" s="554"/>
      <c r="CS323" s="554"/>
      <c r="CT323" s="554"/>
      <c r="CU323" s="554"/>
      <c r="CV323" s="554"/>
      <c r="CW323" s="554"/>
      <c r="CX323" s="554"/>
      <c r="CY323" s="554"/>
      <c r="CZ323" s="554"/>
      <c r="DA323" s="554"/>
      <c r="DB323" s="554"/>
      <c r="DC323" s="554"/>
      <c r="DD323" s="554"/>
      <c r="DE323" s="534"/>
      <c r="DF323" s="534"/>
      <c r="DG323" s="534"/>
    </row>
    <row r="324" spans="1:111" ht="15" x14ac:dyDescent="0.25">
      <c r="A324" s="549">
        <f>IFERROR(IF(INDEX('Weather Cases'!$E$10:$E$94,MATCH('Load Criteria'!X324,'Weather Cases'!$H$10:$H$94,0),1)=1,1,"-"),"-")</f>
        <v>1</v>
      </c>
      <c r="B324" s="555" t="s">
        <v>558</v>
      </c>
      <c r="C324" s="556" t="str">
        <f>IF('Weather Cases'!$E$44=0,"","DC/SC")</f>
        <v>DC/SC</v>
      </c>
      <c r="D324" s="555" t="s">
        <v>579</v>
      </c>
      <c r="E324" s="556">
        <v>1</v>
      </c>
      <c r="F324" s="555" t="s">
        <v>581</v>
      </c>
      <c r="G324" s="556" t="str">
        <f>IFERROR(IF(MID('Load Criteria'!X324,FIND("_",'Load Criteria'!X324,1)+1,1)=LEFT(Control!$D$23,1),"YES","-"),"-")</f>
        <v>-</v>
      </c>
      <c r="H324" s="549" t="s">
        <v>22</v>
      </c>
      <c r="I324" s="557" t="s">
        <v>331</v>
      </c>
      <c r="J324" s="550">
        <f>Control!$D$25</f>
        <v>1</v>
      </c>
      <c r="K324" s="508" t="s">
        <v>571</v>
      </c>
      <c r="L324" s="508" t="s">
        <v>40</v>
      </c>
      <c r="M324" s="550">
        <v>8</v>
      </c>
      <c r="N324" s="550"/>
      <c r="O324" s="550"/>
      <c r="P324" s="392"/>
      <c r="Q324" s="392"/>
      <c r="R324" s="392"/>
      <c r="S324" s="392"/>
      <c r="T324" s="392"/>
      <c r="U324" s="255" t="s">
        <v>574</v>
      </c>
      <c r="V324" s="551"/>
      <c r="W324" s="542" t="str">
        <f t="shared" si="494"/>
        <v>RS0001_8+TB8 NA-</v>
      </c>
      <c r="X324" s="552" t="str">
        <f>I324&amp;TEXT(J324,"0000")&amp;"_"&amp;LEFT(Control!$D$22,LEN(Control!$D$22)-2)</f>
        <v>RS0001_8</v>
      </c>
      <c r="Y324" s="552" t="s">
        <v>433</v>
      </c>
      <c r="Z324" s="552" t="str">
        <f t="shared" si="476"/>
        <v>NA-</v>
      </c>
      <c r="AA324" s="552"/>
      <c r="AB324" s="552">
        <v>1</v>
      </c>
      <c r="AC324" s="552">
        <v>1</v>
      </c>
      <c r="AD324" s="552">
        <v>1</v>
      </c>
      <c r="AE324" s="552">
        <v>1</v>
      </c>
      <c r="AF324" s="552">
        <v>1</v>
      </c>
      <c r="AG324" s="542" t="s">
        <v>561</v>
      </c>
      <c r="AH324" s="552">
        <v>0</v>
      </c>
      <c r="AI324" s="552">
        <v>0</v>
      </c>
      <c r="AJ324" s="552">
        <v>1</v>
      </c>
      <c r="AK324" s="552">
        <v>1</v>
      </c>
      <c r="AL324" s="552">
        <v>1</v>
      </c>
      <c r="AM324" s="552">
        <v>0</v>
      </c>
      <c r="AN324" s="552">
        <v>0</v>
      </c>
      <c r="AO324" s="552">
        <v>1</v>
      </c>
      <c r="AP324" s="552">
        <v>1</v>
      </c>
      <c r="AQ324" s="552">
        <v>1</v>
      </c>
      <c r="AR324" s="552">
        <v>1</v>
      </c>
      <c r="AS324" s="552">
        <v>1</v>
      </c>
      <c r="AT324" s="552">
        <v>1</v>
      </c>
      <c r="AU324" s="552">
        <v>1</v>
      </c>
      <c r="AV324" s="592" t="s">
        <v>1132</v>
      </c>
      <c r="AW324" s="552" t="s">
        <v>562</v>
      </c>
      <c r="AX324" s="552"/>
      <c r="AY324" s="552" t="str">
        <f t="shared" si="474"/>
        <v>Yes</v>
      </c>
      <c r="AZ324" s="554" t="str">
        <f t="shared" si="477"/>
        <v>8:1:Back</v>
      </c>
      <c r="BA324" s="554" t="str">
        <f t="shared" si="478"/>
        <v>Broken Wire (# Broken Subconductors)</v>
      </c>
      <c r="BB324" s="552">
        <f t="shared" si="479"/>
        <v>4</v>
      </c>
      <c r="BC324" s="554" t="str">
        <f t="shared" si="480"/>
        <v>18:1:Back</v>
      </c>
      <c r="BD324" s="554" t="str">
        <f t="shared" si="481"/>
        <v>Broken Wire (# Broken Subconductors)</v>
      </c>
      <c r="BE324" s="552">
        <f t="shared" si="482"/>
        <v>4</v>
      </c>
      <c r="BF324" s="554" t="str">
        <f t="shared" si="510"/>
        <v/>
      </c>
      <c r="BG324" s="554" t="str">
        <f t="shared" si="483"/>
        <v/>
      </c>
      <c r="BH324" s="552" t="str">
        <f t="shared" si="484"/>
        <v/>
      </c>
      <c r="BI324" s="554" t="str">
        <f t="shared" si="485"/>
        <v/>
      </c>
      <c r="BJ324" s="554" t="str">
        <f t="shared" si="486"/>
        <v/>
      </c>
      <c r="BK324" s="552" t="str">
        <f t="shared" si="487"/>
        <v/>
      </c>
      <c r="BL324" s="554" t="str">
        <f t="shared" si="488"/>
        <v/>
      </c>
      <c r="BM324" s="554" t="str">
        <f t="shared" si="489"/>
        <v/>
      </c>
      <c r="BN324" s="552" t="str">
        <f t="shared" si="490"/>
        <v/>
      </c>
      <c r="BO324" s="554" t="str">
        <f t="shared" si="491"/>
        <v/>
      </c>
      <c r="BP324" s="554" t="str">
        <f t="shared" si="492"/>
        <v/>
      </c>
      <c r="BQ324" s="552" t="str">
        <f t="shared" si="493"/>
        <v/>
      </c>
      <c r="BR324" s="554"/>
      <c r="BS324" s="554"/>
      <c r="BT324" s="554"/>
      <c r="BU324" s="554"/>
      <c r="BV324" s="554"/>
      <c r="BW324" s="554"/>
      <c r="BX324" s="554"/>
      <c r="BY324" s="554"/>
      <c r="BZ324" s="554"/>
      <c r="CA324" s="554"/>
      <c r="CB324" s="554"/>
      <c r="CC324" s="554"/>
      <c r="CD324" s="554"/>
      <c r="CE324" s="554"/>
      <c r="CF324" s="554"/>
      <c r="CG324" s="554"/>
      <c r="CH324" s="554"/>
      <c r="CI324" s="554"/>
      <c r="CJ324" s="554"/>
      <c r="CK324" s="554"/>
      <c r="CL324" s="554"/>
      <c r="CM324" s="554"/>
      <c r="CN324" s="554"/>
      <c r="CO324" s="554"/>
      <c r="CP324" s="554"/>
      <c r="CQ324" s="554"/>
      <c r="CR324" s="554"/>
      <c r="CS324" s="554"/>
      <c r="CT324" s="554"/>
      <c r="CU324" s="554"/>
      <c r="CV324" s="554"/>
      <c r="CW324" s="554"/>
      <c r="CX324" s="554"/>
      <c r="CY324" s="554"/>
      <c r="CZ324" s="554"/>
      <c r="DA324" s="554"/>
      <c r="DB324" s="554"/>
      <c r="DC324" s="554"/>
      <c r="DD324" s="554"/>
      <c r="DE324" s="534"/>
      <c r="DF324" s="534"/>
      <c r="DG324" s="534"/>
    </row>
    <row r="325" spans="1:111" ht="15" x14ac:dyDescent="0.25">
      <c r="A325" s="549">
        <f>IFERROR(IF(INDEX('Weather Cases'!$E$10:$E$94,MATCH('Load Criteria'!X325,'Weather Cases'!$H$10:$H$94,0),1)=1,1,"-"),"-")</f>
        <v>1</v>
      </c>
      <c r="B325" s="555" t="s">
        <v>558</v>
      </c>
      <c r="C325" s="556" t="str">
        <f>IF('Weather Cases'!$E$44=0,"","DC")</f>
        <v>DC</v>
      </c>
      <c r="D325" s="555" t="s">
        <v>579</v>
      </c>
      <c r="E325" s="556">
        <v>2</v>
      </c>
      <c r="F325" s="556" t="s">
        <v>22</v>
      </c>
      <c r="G325" s="556" t="str">
        <f>IFERROR(IF(MID('Load Criteria'!X325,FIND("_",'Load Criteria'!X325,1)+1,1)=LEFT(Control!$D$23,1),"YES","-"),"-")</f>
        <v>-</v>
      </c>
      <c r="H325" s="549" t="s">
        <v>22</v>
      </c>
      <c r="I325" s="557" t="s">
        <v>331</v>
      </c>
      <c r="J325" s="550">
        <f>Control!$D$25</f>
        <v>1</v>
      </c>
      <c r="K325" s="508" t="s">
        <v>571</v>
      </c>
      <c r="L325" s="508" t="s">
        <v>24</v>
      </c>
      <c r="M325" s="550">
        <v>1</v>
      </c>
      <c r="N325" s="550">
        <v>2</v>
      </c>
      <c r="O325" s="550"/>
      <c r="P325" s="392"/>
      <c r="Q325" s="392"/>
      <c r="R325" s="392"/>
      <c r="S325" s="392"/>
      <c r="T325" s="392"/>
      <c r="U325" s="255" t="s">
        <v>568</v>
      </c>
      <c r="V325" s="551"/>
      <c r="W325" s="542" t="str">
        <f t="shared" si="494"/>
        <v>RS0001_8+TA12 NA+</v>
      </c>
      <c r="X325" s="552" t="str">
        <f>I325&amp;TEXT(J325,"0000")&amp;"_"&amp;LEFT(Control!$D$22,LEN(Control!$D$22)-2)</f>
        <v>RS0001_8</v>
      </c>
      <c r="Y325" s="552" t="s">
        <v>433</v>
      </c>
      <c r="Z325" s="552" t="str">
        <f t="shared" si="476"/>
        <v>NA+</v>
      </c>
      <c r="AA325" s="552"/>
      <c r="AB325" s="552">
        <v>1</v>
      </c>
      <c r="AC325" s="552">
        <v>1</v>
      </c>
      <c r="AD325" s="552">
        <v>1</v>
      </c>
      <c r="AE325" s="552">
        <v>1</v>
      </c>
      <c r="AF325" s="552">
        <v>1</v>
      </c>
      <c r="AG325" s="542" t="s">
        <v>561</v>
      </c>
      <c r="AH325" s="552">
        <v>0</v>
      </c>
      <c r="AI325" s="552">
        <v>0</v>
      </c>
      <c r="AJ325" s="552">
        <v>1</v>
      </c>
      <c r="AK325" s="552">
        <v>1</v>
      </c>
      <c r="AL325" s="552">
        <v>1</v>
      </c>
      <c r="AM325" s="552">
        <v>0</v>
      </c>
      <c r="AN325" s="552">
        <v>0</v>
      </c>
      <c r="AO325" s="552">
        <v>1</v>
      </c>
      <c r="AP325" s="552">
        <v>1</v>
      </c>
      <c r="AQ325" s="552">
        <v>1</v>
      </c>
      <c r="AR325" s="552">
        <v>1</v>
      </c>
      <c r="AS325" s="552">
        <v>1</v>
      </c>
      <c r="AT325" s="552">
        <v>1</v>
      </c>
      <c r="AU325" s="552">
        <v>1</v>
      </c>
      <c r="AV325" s="553" t="str">
        <f>IF(H325="YES",IF($AV$2="Y","'"&amp;INDEX('Structure Groups'!$C$12:$C$14,MATCH($B$5,'Structure Groups'!$B$12:$B$14,0),1)&amp;"'","'"&amp;INDEX('Structure Groups'!$C$16:$C$18,MATCH($B$5,'Structure Groups'!$B$16:$B$18,0),1)&amp;"'"),IF($AV$2="Y","'All'","'Stop'"))</f>
        <v>'Stop'</v>
      </c>
      <c r="AW325" s="552" t="s">
        <v>562</v>
      </c>
      <c r="AX325" s="552"/>
      <c r="AY325" s="552" t="str">
        <f t="shared" si="474"/>
        <v>Yes</v>
      </c>
      <c r="AZ325" s="554" t="str">
        <f t="shared" si="477"/>
        <v>1:1:Ahead</v>
      </c>
      <c r="BA325" s="554" t="str">
        <f t="shared" si="478"/>
        <v>Broken Wire (# Broken Subconductors)</v>
      </c>
      <c r="BB325" s="552">
        <f t="shared" si="479"/>
        <v>4</v>
      </c>
      <c r="BC325" s="554" t="str">
        <f t="shared" si="480"/>
        <v>11:1:Ahead</v>
      </c>
      <c r="BD325" s="554" t="str">
        <f t="shared" si="481"/>
        <v>Broken Wire (# Broken Subconductors)</v>
      </c>
      <c r="BE325" s="552">
        <f t="shared" si="482"/>
        <v>4</v>
      </c>
      <c r="BF325" s="554" t="str">
        <f t="shared" si="510"/>
        <v>2:1:Ahead</v>
      </c>
      <c r="BG325" s="554" t="str">
        <f t="shared" si="483"/>
        <v>Broken Wire (# Broken Subconductors)</v>
      </c>
      <c r="BH325" s="552">
        <f t="shared" si="484"/>
        <v>4</v>
      </c>
      <c r="BI325" s="554" t="str">
        <f t="shared" si="485"/>
        <v>12:1:Ahead</v>
      </c>
      <c r="BJ325" s="554" t="str">
        <f t="shared" si="486"/>
        <v>Broken Wire (# Broken Subconductors)</v>
      </c>
      <c r="BK325" s="552">
        <f t="shared" si="487"/>
        <v>4</v>
      </c>
      <c r="BL325" s="554" t="str">
        <f t="shared" si="488"/>
        <v/>
      </c>
      <c r="BM325" s="554" t="str">
        <f t="shared" si="489"/>
        <v/>
      </c>
      <c r="BN325" s="552" t="str">
        <f t="shared" si="490"/>
        <v/>
      </c>
      <c r="BO325" s="554" t="str">
        <f t="shared" si="491"/>
        <v/>
      </c>
      <c r="BP325" s="554" t="str">
        <f t="shared" si="492"/>
        <v/>
      </c>
      <c r="BQ325" s="552" t="str">
        <f t="shared" si="493"/>
        <v/>
      </c>
      <c r="BR325" s="554"/>
      <c r="BS325" s="554"/>
      <c r="BT325" s="554"/>
      <c r="BU325" s="554"/>
      <c r="BV325" s="554"/>
      <c r="BW325" s="554"/>
      <c r="BX325" s="554"/>
      <c r="BY325" s="554"/>
      <c r="BZ325" s="554"/>
      <c r="CA325" s="554"/>
      <c r="CB325" s="554"/>
      <c r="CC325" s="554"/>
      <c r="CD325" s="554"/>
      <c r="CE325" s="554"/>
      <c r="CF325" s="554"/>
      <c r="CG325" s="554"/>
      <c r="CH325" s="554"/>
      <c r="CI325" s="554"/>
      <c r="CJ325" s="554"/>
      <c r="CK325" s="554"/>
      <c r="CL325" s="554"/>
      <c r="CM325" s="554"/>
      <c r="CN325" s="554"/>
      <c r="CO325" s="554"/>
      <c r="CP325" s="554"/>
      <c r="CQ325" s="554"/>
      <c r="CR325" s="554"/>
      <c r="CS325" s="554"/>
      <c r="CT325" s="554"/>
      <c r="CU325" s="554"/>
      <c r="CV325" s="554"/>
      <c r="CW325" s="554"/>
      <c r="CX325" s="554"/>
      <c r="CY325" s="554"/>
      <c r="CZ325" s="554"/>
      <c r="DA325" s="554"/>
      <c r="DB325" s="554"/>
      <c r="DC325" s="554"/>
      <c r="DD325" s="554"/>
      <c r="DE325" s="534"/>
      <c r="DF325" s="534"/>
      <c r="DG325" s="534"/>
    </row>
    <row r="326" spans="1:111" ht="15" x14ac:dyDescent="0.25">
      <c r="A326" s="549">
        <f>IFERROR(IF(INDEX('Weather Cases'!$E$10:$E$94,MATCH('Load Criteria'!X326,'Weather Cases'!$H$10:$H$94,0),1)=1,1,"-"),"-")</f>
        <v>1</v>
      </c>
      <c r="B326" s="555" t="s">
        <v>558</v>
      </c>
      <c r="C326" s="556" t="str">
        <f>IF('Weather Cases'!$E$44=0,"","DC")</f>
        <v>DC</v>
      </c>
      <c r="D326" s="555" t="s">
        <v>579</v>
      </c>
      <c r="E326" s="556">
        <v>2</v>
      </c>
      <c r="F326" s="556" t="s">
        <v>22</v>
      </c>
      <c r="G326" s="556" t="str">
        <f>IFERROR(IF(MID('Load Criteria'!X326,FIND("_",'Load Criteria'!X326,1)+1,1)=LEFT(Control!$D$23,1),"YES","-"),"-")</f>
        <v>-</v>
      </c>
      <c r="H326" s="549" t="s">
        <v>22</v>
      </c>
      <c r="I326" s="557" t="s">
        <v>331</v>
      </c>
      <c r="J326" s="550">
        <f>Control!$D$25</f>
        <v>1</v>
      </c>
      <c r="K326" s="508" t="s">
        <v>571</v>
      </c>
      <c r="L326" s="508" t="s">
        <v>24</v>
      </c>
      <c r="M326" s="550">
        <v>2</v>
      </c>
      <c r="N326" s="550">
        <v>3</v>
      </c>
      <c r="O326" s="550"/>
      <c r="P326" s="392"/>
      <c r="Q326" s="392"/>
      <c r="R326" s="392"/>
      <c r="S326" s="392"/>
      <c r="T326" s="392"/>
      <c r="U326" s="255" t="s">
        <v>568</v>
      </c>
      <c r="V326" s="551"/>
      <c r="W326" s="542" t="str">
        <f t="shared" si="494"/>
        <v>RS0001_8+TA23 NA+</v>
      </c>
      <c r="X326" s="552" t="str">
        <f>I326&amp;TEXT(J326,"0000")&amp;"_"&amp;LEFT(Control!$D$22,LEN(Control!$D$22)-2)</f>
        <v>RS0001_8</v>
      </c>
      <c r="Y326" s="552" t="s">
        <v>433</v>
      </c>
      <c r="Z326" s="552" t="str">
        <f t="shared" si="476"/>
        <v>NA+</v>
      </c>
      <c r="AA326" s="552"/>
      <c r="AB326" s="552">
        <v>1</v>
      </c>
      <c r="AC326" s="552">
        <v>1</v>
      </c>
      <c r="AD326" s="552">
        <v>1</v>
      </c>
      <c r="AE326" s="552">
        <v>1</v>
      </c>
      <c r="AF326" s="552">
        <v>1</v>
      </c>
      <c r="AG326" s="542" t="s">
        <v>561</v>
      </c>
      <c r="AH326" s="552">
        <v>0</v>
      </c>
      <c r="AI326" s="552">
        <v>0</v>
      </c>
      <c r="AJ326" s="552">
        <v>1</v>
      </c>
      <c r="AK326" s="552">
        <v>1</v>
      </c>
      <c r="AL326" s="552">
        <v>1</v>
      </c>
      <c r="AM326" s="552">
        <v>0</v>
      </c>
      <c r="AN326" s="552">
        <v>0</v>
      </c>
      <c r="AO326" s="552">
        <v>1</v>
      </c>
      <c r="AP326" s="552">
        <v>1</v>
      </c>
      <c r="AQ326" s="552">
        <v>1</v>
      </c>
      <c r="AR326" s="552">
        <v>1</v>
      </c>
      <c r="AS326" s="552">
        <v>1</v>
      </c>
      <c r="AT326" s="552">
        <v>1</v>
      </c>
      <c r="AU326" s="552">
        <v>1</v>
      </c>
      <c r="AV326" s="553" t="str">
        <f>IF(H326="YES",IF($AV$2="Y","'"&amp;INDEX('Structure Groups'!$C$12:$C$14,MATCH($B$5,'Structure Groups'!$B$12:$B$14,0),1)&amp;"'","'"&amp;INDEX('Structure Groups'!$C$16:$C$18,MATCH($B$5,'Structure Groups'!$B$16:$B$18,0),1)&amp;"'"),IF($AV$2="Y","'All'","'Stop'"))</f>
        <v>'Stop'</v>
      </c>
      <c r="AW326" s="552" t="s">
        <v>562</v>
      </c>
      <c r="AX326" s="552"/>
      <c r="AY326" s="552" t="str">
        <f t="shared" si="474"/>
        <v>Yes</v>
      </c>
      <c r="AZ326" s="554" t="str">
        <f t="shared" si="477"/>
        <v>2:1:Ahead</v>
      </c>
      <c r="BA326" s="554" t="str">
        <f t="shared" si="478"/>
        <v>Broken Wire (# Broken Subconductors)</v>
      </c>
      <c r="BB326" s="552">
        <f t="shared" si="479"/>
        <v>4</v>
      </c>
      <c r="BC326" s="554" t="str">
        <f t="shared" si="480"/>
        <v>12:1:Ahead</v>
      </c>
      <c r="BD326" s="554" t="str">
        <f t="shared" si="481"/>
        <v>Broken Wire (# Broken Subconductors)</v>
      </c>
      <c r="BE326" s="552">
        <f t="shared" si="482"/>
        <v>4</v>
      </c>
      <c r="BF326" s="554" t="str">
        <f t="shared" si="510"/>
        <v>3:1:Ahead</v>
      </c>
      <c r="BG326" s="554" t="str">
        <f t="shared" si="483"/>
        <v>Broken Wire (# Broken Subconductors)</v>
      </c>
      <c r="BH326" s="552">
        <f t="shared" si="484"/>
        <v>4</v>
      </c>
      <c r="BI326" s="554" t="str">
        <f t="shared" si="485"/>
        <v>13:1:Ahead</v>
      </c>
      <c r="BJ326" s="554" t="str">
        <f t="shared" si="486"/>
        <v>Broken Wire (# Broken Subconductors)</v>
      </c>
      <c r="BK326" s="552">
        <f t="shared" si="487"/>
        <v>4</v>
      </c>
      <c r="BL326" s="554" t="str">
        <f t="shared" si="488"/>
        <v/>
      </c>
      <c r="BM326" s="554" t="str">
        <f t="shared" si="489"/>
        <v/>
      </c>
      <c r="BN326" s="552" t="str">
        <f t="shared" si="490"/>
        <v/>
      </c>
      <c r="BO326" s="554" t="str">
        <f t="shared" si="491"/>
        <v/>
      </c>
      <c r="BP326" s="554" t="str">
        <f t="shared" si="492"/>
        <v/>
      </c>
      <c r="BQ326" s="552" t="str">
        <f t="shared" si="493"/>
        <v/>
      </c>
      <c r="BR326" s="554"/>
      <c r="BS326" s="554"/>
      <c r="BT326" s="554"/>
      <c r="BU326" s="554"/>
      <c r="BV326" s="554"/>
      <c r="BW326" s="554"/>
      <c r="BX326" s="554"/>
      <c r="BY326" s="554"/>
      <c r="BZ326" s="554"/>
      <c r="CA326" s="554"/>
      <c r="CB326" s="554"/>
      <c r="CC326" s="554"/>
      <c r="CD326" s="554"/>
      <c r="CE326" s="554"/>
      <c r="CF326" s="554"/>
      <c r="CG326" s="554"/>
      <c r="CH326" s="554"/>
      <c r="CI326" s="554"/>
      <c r="CJ326" s="554"/>
      <c r="CK326" s="554"/>
      <c r="CL326" s="554"/>
      <c r="CM326" s="554"/>
      <c r="CN326" s="554"/>
      <c r="CO326" s="554"/>
      <c r="CP326" s="554"/>
      <c r="CQ326" s="554"/>
      <c r="CR326" s="554"/>
      <c r="CS326" s="554"/>
      <c r="CT326" s="554"/>
      <c r="CU326" s="554"/>
      <c r="CV326" s="554"/>
      <c r="CW326" s="554"/>
      <c r="CX326" s="554"/>
      <c r="CY326" s="554"/>
      <c r="CZ326" s="554"/>
      <c r="DA326" s="554"/>
      <c r="DB326" s="554"/>
      <c r="DC326" s="554"/>
      <c r="DD326" s="554"/>
      <c r="DE326" s="534"/>
      <c r="DF326" s="534"/>
      <c r="DG326" s="534"/>
    </row>
    <row r="327" spans="1:111" ht="15" x14ac:dyDescent="0.25">
      <c r="A327" s="549">
        <f>IFERROR(IF(INDEX('Weather Cases'!$E$10:$E$94,MATCH('Load Criteria'!X327,'Weather Cases'!$H$10:$H$94,0),1)=1,1,"-"),"-")</f>
        <v>1</v>
      </c>
      <c r="B327" s="555" t="s">
        <v>558</v>
      </c>
      <c r="C327" s="556" t="str">
        <f>IF('Weather Cases'!$E$44=0,"","DC")</f>
        <v>DC</v>
      </c>
      <c r="D327" s="555" t="s">
        <v>579</v>
      </c>
      <c r="E327" s="556">
        <v>2</v>
      </c>
      <c r="F327" s="556" t="s">
        <v>22</v>
      </c>
      <c r="G327" s="556" t="str">
        <f>IFERROR(IF(MID('Load Criteria'!X327,FIND("_",'Load Criteria'!X327,1)+1,1)=LEFT(Control!$D$23,1),"YES","-"),"-")</f>
        <v>-</v>
      </c>
      <c r="H327" s="549" t="s">
        <v>22</v>
      </c>
      <c r="I327" s="557" t="s">
        <v>331</v>
      </c>
      <c r="J327" s="550">
        <f>Control!$D$25</f>
        <v>1</v>
      </c>
      <c r="K327" s="508" t="s">
        <v>571</v>
      </c>
      <c r="L327" s="508" t="s">
        <v>24</v>
      </c>
      <c r="M327" s="550">
        <v>1</v>
      </c>
      <c r="N327" s="550">
        <v>3</v>
      </c>
      <c r="O327" s="550"/>
      <c r="P327" s="392"/>
      <c r="Q327" s="392"/>
      <c r="R327" s="392"/>
      <c r="S327" s="392"/>
      <c r="T327" s="392"/>
      <c r="U327" s="255" t="s">
        <v>568</v>
      </c>
      <c r="V327" s="551"/>
      <c r="W327" s="542" t="str">
        <f t="shared" si="494"/>
        <v>RS0001_8+TA13 NA+</v>
      </c>
      <c r="X327" s="552" t="str">
        <f>I327&amp;TEXT(J327,"0000")&amp;"_"&amp;LEFT(Control!$D$22,LEN(Control!$D$22)-2)</f>
        <v>RS0001_8</v>
      </c>
      <c r="Y327" s="552" t="s">
        <v>433</v>
      </c>
      <c r="Z327" s="552" t="str">
        <f t="shared" si="476"/>
        <v>NA+</v>
      </c>
      <c r="AA327" s="552"/>
      <c r="AB327" s="552">
        <v>1</v>
      </c>
      <c r="AC327" s="552">
        <v>1</v>
      </c>
      <c r="AD327" s="552">
        <v>1</v>
      </c>
      <c r="AE327" s="552">
        <v>1</v>
      </c>
      <c r="AF327" s="552">
        <v>1</v>
      </c>
      <c r="AG327" s="542" t="s">
        <v>561</v>
      </c>
      <c r="AH327" s="552">
        <v>0</v>
      </c>
      <c r="AI327" s="552">
        <v>0</v>
      </c>
      <c r="AJ327" s="552">
        <v>1</v>
      </c>
      <c r="AK327" s="552">
        <v>1</v>
      </c>
      <c r="AL327" s="552">
        <v>1</v>
      </c>
      <c r="AM327" s="552">
        <v>0</v>
      </c>
      <c r="AN327" s="552">
        <v>0</v>
      </c>
      <c r="AO327" s="552">
        <v>1</v>
      </c>
      <c r="AP327" s="552">
        <v>1</v>
      </c>
      <c r="AQ327" s="552">
        <v>1</v>
      </c>
      <c r="AR327" s="552">
        <v>1</v>
      </c>
      <c r="AS327" s="552">
        <v>1</v>
      </c>
      <c r="AT327" s="552">
        <v>1</v>
      </c>
      <c r="AU327" s="552">
        <v>1</v>
      </c>
      <c r="AV327" s="553" t="str">
        <f>IF(H327="YES",IF($AV$2="Y","'"&amp;INDEX('Structure Groups'!$C$12:$C$14,MATCH($B$5,'Structure Groups'!$B$12:$B$14,0),1)&amp;"'","'"&amp;INDEX('Structure Groups'!$C$16:$C$18,MATCH($B$5,'Structure Groups'!$B$16:$B$18,0),1)&amp;"'"),IF($AV$2="Y","'All'","'Stop'"))</f>
        <v>'Stop'</v>
      </c>
      <c r="AW327" s="552" t="s">
        <v>562</v>
      </c>
      <c r="AX327" s="552"/>
      <c r="AY327" s="552" t="str">
        <f t="shared" si="474"/>
        <v>Yes</v>
      </c>
      <c r="AZ327" s="554" t="str">
        <f t="shared" si="477"/>
        <v>1:1:Ahead</v>
      </c>
      <c r="BA327" s="554" t="str">
        <f t="shared" si="478"/>
        <v>Broken Wire (# Broken Subconductors)</v>
      </c>
      <c r="BB327" s="552">
        <f t="shared" si="479"/>
        <v>4</v>
      </c>
      <c r="BC327" s="554" t="str">
        <f t="shared" si="480"/>
        <v>11:1:Ahead</v>
      </c>
      <c r="BD327" s="554" t="str">
        <f t="shared" si="481"/>
        <v>Broken Wire (# Broken Subconductors)</v>
      </c>
      <c r="BE327" s="552">
        <f t="shared" si="482"/>
        <v>4</v>
      </c>
      <c r="BF327" s="554" t="str">
        <f t="shared" si="510"/>
        <v>3:1:Ahead</v>
      </c>
      <c r="BG327" s="554" t="str">
        <f t="shared" si="483"/>
        <v>Broken Wire (# Broken Subconductors)</v>
      </c>
      <c r="BH327" s="552">
        <f t="shared" si="484"/>
        <v>4</v>
      </c>
      <c r="BI327" s="554" t="str">
        <f t="shared" si="485"/>
        <v>13:1:Ahead</v>
      </c>
      <c r="BJ327" s="554" t="str">
        <f t="shared" si="486"/>
        <v>Broken Wire (# Broken Subconductors)</v>
      </c>
      <c r="BK327" s="552">
        <f t="shared" si="487"/>
        <v>4</v>
      </c>
      <c r="BL327" s="554" t="str">
        <f t="shared" si="488"/>
        <v/>
      </c>
      <c r="BM327" s="554" t="str">
        <f t="shared" si="489"/>
        <v/>
      </c>
      <c r="BN327" s="552" t="str">
        <f t="shared" si="490"/>
        <v/>
      </c>
      <c r="BO327" s="554" t="str">
        <f t="shared" si="491"/>
        <v/>
      </c>
      <c r="BP327" s="554" t="str">
        <f t="shared" si="492"/>
        <v/>
      </c>
      <c r="BQ327" s="552" t="str">
        <f t="shared" si="493"/>
        <v/>
      </c>
      <c r="BR327" s="554"/>
      <c r="BS327" s="554"/>
      <c r="BT327" s="554"/>
      <c r="BU327" s="554"/>
      <c r="BV327" s="554"/>
      <c r="BW327" s="554"/>
      <c r="BX327" s="554"/>
      <c r="BY327" s="554"/>
      <c r="BZ327" s="554"/>
      <c r="CA327" s="554"/>
      <c r="CB327" s="554"/>
      <c r="CC327" s="554"/>
      <c r="CD327" s="554"/>
      <c r="CE327" s="554"/>
      <c r="CF327" s="554"/>
      <c r="CG327" s="554"/>
      <c r="CH327" s="554"/>
      <c r="CI327" s="554"/>
      <c r="CJ327" s="554"/>
      <c r="CK327" s="554"/>
      <c r="CL327" s="554"/>
      <c r="CM327" s="554"/>
      <c r="CN327" s="554"/>
      <c r="CO327" s="554"/>
      <c r="CP327" s="554"/>
      <c r="CQ327" s="554"/>
      <c r="CR327" s="554"/>
      <c r="CS327" s="554"/>
      <c r="CT327" s="554"/>
      <c r="CU327" s="554"/>
      <c r="CV327" s="554"/>
      <c r="CW327" s="554"/>
      <c r="CX327" s="554"/>
      <c r="CY327" s="554"/>
      <c r="CZ327" s="554"/>
      <c r="DA327" s="554"/>
      <c r="DB327" s="554"/>
      <c r="DC327" s="554"/>
      <c r="DD327" s="554"/>
      <c r="DE327" s="534"/>
      <c r="DF327" s="534"/>
      <c r="DG327" s="534"/>
    </row>
    <row r="328" spans="1:111" ht="15" x14ac:dyDescent="0.25">
      <c r="A328" s="549">
        <f>IFERROR(IF(INDEX('Weather Cases'!$E$10:$E$94,MATCH('Load Criteria'!X328,'Weather Cases'!$H$10:$H$94,0),1)=1,1,"-"),"-")</f>
        <v>1</v>
      </c>
      <c r="B328" s="555" t="s">
        <v>558</v>
      </c>
      <c r="C328" s="556" t="str">
        <f>IF('Weather Cases'!$E$44=0,"","DC")</f>
        <v>DC</v>
      </c>
      <c r="D328" s="555" t="s">
        <v>579</v>
      </c>
      <c r="E328" s="556">
        <v>2</v>
      </c>
      <c r="F328" s="555" t="s">
        <v>580</v>
      </c>
      <c r="G328" s="556" t="str">
        <f>IFERROR(IF(MID('Load Criteria'!X328,FIND("_",'Load Criteria'!X328,1)+1,1)=LEFT(Control!$D$23,1),"YES","-"),"-")</f>
        <v>-</v>
      </c>
      <c r="H328" s="549" t="s">
        <v>22</v>
      </c>
      <c r="I328" s="557" t="s">
        <v>331</v>
      </c>
      <c r="J328" s="550">
        <f>Control!$D$25</f>
        <v>1</v>
      </c>
      <c r="K328" s="508" t="s">
        <v>571</v>
      </c>
      <c r="L328" s="508" t="s">
        <v>24</v>
      </c>
      <c r="M328" s="550">
        <v>3</v>
      </c>
      <c r="N328" s="550">
        <v>7</v>
      </c>
      <c r="O328" s="550"/>
      <c r="P328" s="392"/>
      <c r="Q328" s="392"/>
      <c r="R328" s="392"/>
      <c r="S328" s="392"/>
      <c r="T328" s="392"/>
      <c r="U328" s="255" t="s">
        <v>568</v>
      </c>
      <c r="V328" s="551"/>
      <c r="W328" s="542" t="str">
        <f t="shared" si="494"/>
        <v>RS0001_8+TA37 NA+</v>
      </c>
      <c r="X328" s="552" t="str">
        <f>I328&amp;TEXT(J328,"0000")&amp;"_"&amp;LEFT(Control!$D$22,LEN(Control!$D$22)-2)</f>
        <v>RS0001_8</v>
      </c>
      <c r="Y328" s="552" t="s">
        <v>433</v>
      </c>
      <c r="Z328" s="552" t="str">
        <f t="shared" si="476"/>
        <v>NA+</v>
      </c>
      <c r="AA328" s="552"/>
      <c r="AB328" s="552">
        <v>1</v>
      </c>
      <c r="AC328" s="552">
        <v>1</v>
      </c>
      <c r="AD328" s="552">
        <v>1</v>
      </c>
      <c r="AE328" s="552">
        <v>1</v>
      </c>
      <c r="AF328" s="552">
        <v>1</v>
      </c>
      <c r="AG328" s="542" t="s">
        <v>561</v>
      </c>
      <c r="AH328" s="552">
        <v>0</v>
      </c>
      <c r="AI328" s="552">
        <v>0</v>
      </c>
      <c r="AJ328" s="552">
        <v>1</v>
      </c>
      <c r="AK328" s="552">
        <v>1</v>
      </c>
      <c r="AL328" s="552">
        <v>1</v>
      </c>
      <c r="AM328" s="552">
        <v>0</v>
      </c>
      <c r="AN328" s="552">
        <v>0</v>
      </c>
      <c r="AO328" s="552">
        <v>1</v>
      </c>
      <c r="AP328" s="552">
        <v>1</v>
      </c>
      <c r="AQ328" s="552">
        <v>1</v>
      </c>
      <c r="AR328" s="552">
        <v>1</v>
      </c>
      <c r="AS328" s="552">
        <v>1</v>
      </c>
      <c r="AT328" s="552">
        <v>1</v>
      </c>
      <c r="AU328" s="552">
        <v>1</v>
      </c>
      <c r="AV328" s="553" t="str">
        <f>IF(H328="YES",IF($AV$2="Y","'"&amp;INDEX('Structure Groups'!$C$12:$C$14,MATCH($B$5,'Structure Groups'!$B$12:$B$14,0),1)&amp;"'","'"&amp;INDEX('Structure Groups'!$C$16:$C$18,MATCH($B$5,'Structure Groups'!$B$16:$B$18,0),1)&amp;"'"),IF($AV$2="Y","'All'","'Stop'"))</f>
        <v>'Stop'</v>
      </c>
      <c r="AW328" s="552" t="s">
        <v>562</v>
      </c>
      <c r="AX328" s="552"/>
      <c r="AY328" s="552" t="str">
        <f t="shared" si="474"/>
        <v>Yes</v>
      </c>
      <c r="AZ328" s="554" t="str">
        <f t="shared" si="477"/>
        <v>3:1:Ahead</v>
      </c>
      <c r="BA328" s="554" t="str">
        <f t="shared" si="478"/>
        <v>Broken Wire (# Broken Subconductors)</v>
      </c>
      <c r="BB328" s="552">
        <f t="shared" si="479"/>
        <v>4</v>
      </c>
      <c r="BC328" s="554" t="str">
        <f t="shared" si="480"/>
        <v>13:1:Ahead</v>
      </c>
      <c r="BD328" s="554" t="str">
        <f t="shared" si="481"/>
        <v>Broken Wire (# Broken Subconductors)</v>
      </c>
      <c r="BE328" s="552">
        <f t="shared" si="482"/>
        <v>4</v>
      </c>
      <c r="BF328" s="554" t="str">
        <f t="shared" si="510"/>
        <v>7:1:Ahead</v>
      </c>
      <c r="BG328" s="554" t="str">
        <f t="shared" si="483"/>
        <v>Broken Wire (# Broken Subconductors)</v>
      </c>
      <c r="BH328" s="552">
        <f t="shared" si="484"/>
        <v>4</v>
      </c>
      <c r="BI328" s="554" t="str">
        <f t="shared" si="485"/>
        <v>17:1:Ahead</v>
      </c>
      <c r="BJ328" s="554" t="str">
        <f t="shared" si="486"/>
        <v>Broken Wire (# Broken Subconductors)</v>
      </c>
      <c r="BK328" s="552">
        <f t="shared" si="487"/>
        <v>4</v>
      </c>
      <c r="BL328" s="554" t="str">
        <f t="shared" si="488"/>
        <v/>
      </c>
      <c r="BM328" s="554" t="str">
        <f t="shared" si="489"/>
        <v/>
      </c>
      <c r="BN328" s="552" t="str">
        <f t="shared" si="490"/>
        <v/>
      </c>
      <c r="BO328" s="554" t="str">
        <f t="shared" si="491"/>
        <v/>
      </c>
      <c r="BP328" s="554" t="str">
        <f t="shared" si="492"/>
        <v/>
      </c>
      <c r="BQ328" s="552" t="str">
        <f t="shared" si="493"/>
        <v/>
      </c>
      <c r="BR328" s="554"/>
      <c r="BS328" s="554"/>
      <c r="BT328" s="554"/>
      <c r="BU328" s="554"/>
      <c r="BV328" s="554"/>
      <c r="BW328" s="554"/>
      <c r="BX328" s="554"/>
      <c r="BY328" s="554"/>
      <c r="BZ328" s="554"/>
      <c r="CA328" s="554"/>
      <c r="CB328" s="554"/>
      <c r="CC328" s="554"/>
      <c r="CD328" s="554"/>
      <c r="CE328" s="554"/>
      <c r="CF328" s="554"/>
      <c r="CG328" s="554"/>
      <c r="CH328" s="554"/>
      <c r="CI328" s="554"/>
      <c r="CJ328" s="554"/>
      <c r="CK328" s="554"/>
      <c r="CL328" s="554"/>
      <c r="CM328" s="554"/>
      <c r="CN328" s="554"/>
      <c r="CO328" s="554"/>
      <c r="CP328" s="554"/>
      <c r="CQ328" s="554"/>
      <c r="CR328" s="554"/>
      <c r="CS328" s="554"/>
      <c r="CT328" s="554"/>
      <c r="CU328" s="554"/>
      <c r="CV328" s="554"/>
      <c r="CW328" s="554"/>
      <c r="CX328" s="554"/>
      <c r="CY328" s="554"/>
      <c r="CZ328" s="554"/>
      <c r="DA328" s="554"/>
      <c r="DB328" s="554"/>
      <c r="DC328" s="554"/>
      <c r="DD328" s="554"/>
      <c r="DE328" s="534"/>
      <c r="DF328" s="534"/>
      <c r="DG328" s="534"/>
    </row>
    <row r="329" spans="1:111" ht="15" x14ac:dyDescent="0.25">
      <c r="A329" s="549">
        <f>IFERROR(IF(INDEX('Weather Cases'!$E$10:$E$94,MATCH('Load Criteria'!X329,'Weather Cases'!$H$10:$H$94,0),1)=1,1,"-"),"-")</f>
        <v>1</v>
      </c>
      <c r="B329" s="555" t="s">
        <v>558</v>
      </c>
      <c r="C329" s="556" t="str">
        <f>IF('Weather Cases'!$E$44=0,"","DC")</f>
        <v>DC</v>
      </c>
      <c r="D329" s="555" t="s">
        <v>579</v>
      </c>
      <c r="E329" s="556">
        <v>2</v>
      </c>
      <c r="F329" s="556" t="s">
        <v>22</v>
      </c>
      <c r="G329" s="556" t="str">
        <f>IFERROR(IF(MID('Load Criteria'!X329,FIND("_",'Load Criteria'!X329,1)+1,1)=LEFT(Control!$D$23,1),"YES","-"),"-")</f>
        <v>-</v>
      </c>
      <c r="H329" s="549" t="s">
        <v>22</v>
      </c>
      <c r="I329" s="557" t="s">
        <v>331</v>
      </c>
      <c r="J329" s="550">
        <f>Control!$D$25</f>
        <v>1</v>
      </c>
      <c r="K329" s="508" t="s">
        <v>571</v>
      </c>
      <c r="L329" s="508" t="s">
        <v>24</v>
      </c>
      <c r="M329" s="550">
        <v>4</v>
      </c>
      <c r="N329" s="550">
        <v>5</v>
      </c>
      <c r="O329" s="550"/>
      <c r="P329" s="392"/>
      <c r="Q329" s="392"/>
      <c r="R329" s="392"/>
      <c r="S329" s="392"/>
      <c r="T329" s="392"/>
      <c r="U329" s="255" t="s">
        <v>568</v>
      </c>
      <c r="V329" s="551"/>
      <c r="W329" s="542" t="str">
        <f t="shared" si="494"/>
        <v>RS0001_8+TA45 NA+</v>
      </c>
      <c r="X329" s="552" t="str">
        <f>I329&amp;TEXT(J329,"0000")&amp;"_"&amp;LEFT(Control!$D$22,LEN(Control!$D$22)-2)</f>
        <v>RS0001_8</v>
      </c>
      <c r="Y329" s="552" t="s">
        <v>433</v>
      </c>
      <c r="Z329" s="552" t="str">
        <f t="shared" si="476"/>
        <v>NA+</v>
      </c>
      <c r="AA329" s="552"/>
      <c r="AB329" s="552">
        <v>1</v>
      </c>
      <c r="AC329" s="552">
        <v>1</v>
      </c>
      <c r="AD329" s="552">
        <v>1</v>
      </c>
      <c r="AE329" s="552">
        <v>1</v>
      </c>
      <c r="AF329" s="552">
        <v>1</v>
      </c>
      <c r="AG329" s="542" t="s">
        <v>561</v>
      </c>
      <c r="AH329" s="552">
        <v>0</v>
      </c>
      <c r="AI329" s="552">
        <v>0</v>
      </c>
      <c r="AJ329" s="552">
        <v>1</v>
      </c>
      <c r="AK329" s="552">
        <v>1</v>
      </c>
      <c r="AL329" s="552">
        <v>1</v>
      </c>
      <c r="AM329" s="552">
        <v>0</v>
      </c>
      <c r="AN329" s="552">
        <v>0</v>
      </c>
      <c r="AO329" s="552">
        <v>1</v>
      </c>
      <c r="AP329" s="552">
        <v>1</v>
      </c>
      <c r="AQ329" s="552">
        <v>1</v>
      </c>
      <c r="AR329" s="552">
        <v>1</v>
      </c>
      <c r="AS329" s="552">
        <v>1</v>
      </c>
      <c r="AT329" s="552">
        <v>1</v>
      </c>
      <c r="AU329" s="552">
        <v>1</v>
      </c>
      <c r="AV329" s="553" t="str">
        <f>IF(H329="YES",IF($AV$2="Y","'"&amp;INDEX('Structure Groups'!$C$12:$C$14,MATCH($B$5,'Structure Groups'!$B$12:$B$14,0),1)&amp;"'","'"&amp;INDEX('Structure Groups'!$C$16:$C$18,MATCH($B$5,'Structure Groups'!$B$16:$B$18,0),1)&amp;"'"),IF($AV$2="Y","'All'","'Stop'"))</f>
        <v>'Stop'</v>
      </c>
      <c r="AW329" s="552" t="s">
        <v>562</v>
      </c>
      <c r="AX329" s="552"/>
      <c r="AY329" s="552" t="str">
        <f t="shared" si="474"/>
        <v>Yes</v>
      </c>
      <c r="AZ329" s="554" t="str">
        <f t="shared" si="477"/>
        <v>4:1:Ahead</v>
      </c>
      <c r="BA329" s="554" t="str">
        <f t="shared" si="478"/>
        <v>Broken Wire (# Broken Subconductors)</v>
      </c>
      <c r="BB329" s="552">
        <f t="shared" si="479"/>
        <v>4</v>
      </c>
      <c r="BC329" s="554" t="str">
        <f t="shared" si="480"/>
        <v>14:1:Ahead</v>
      </c>
      <c r="BD329" s="554" t="str">
        <f t="shared" si="481"/>
        <v>Broken Wire (# Broken Subconductors)</v>
      </c>
      <c r="BE329" s="552">
        <f t="shared" si="482"/>
        <v>4</v>
      </c>
      <c r="BF329" s="554" t="str">
        <f t="shared" si="510"/>
        <v>5:1:Ahead</v>
      </c>
      <c r="BG329" s="554" t="str">
        <f t="shared" si="483"/>
        <v>Broken Wire (# Broken Subconductors)</v>
      </c>
      <c r="BH329" s="552">
        <f t="shared" si="484"/>
        <v>4</v>
      </c>
      <c r="BI329" s="554" t="str">
        <f t="shared" si="485"/>
        <v>15:1:Ahead</v>
      </c>
      <c r="BJ329" s="554" t="str">
        <f t="shared" si="486"/>
        <v>Broken Wire (# Broken Subconductors)</v>
      </c>
      <c r="BK329" s="552">
        <f t="shared" si="487"/>
        <v>4</v>
      </c>
      <c r="BL329" s="554" t="str">
        <f t="shared" si="488"/>
        <v/>
      </c>
      <c r="BM329" s="554" t="str">
        <f t="shared" si="489"/>
        <v/>
      </c>
      <c r="BN329" s="552" t="str">
        <f t="shared" si="490"/>
        <v/>
      </c>
      <c r="BO329" s="554" t="str">
        <f t="shared" si="491"/>
        <v/>
      </c>
      <c r="BP329" s="554" t="str">
        <f t="shared" si="492"/>
        <v/>
      </c>
      <c r="BQ329" s="552" t="str">
        <f t="shared" si="493"/>
        <v/>
      </c>
      <c r="BR329" s="554"/>
      <c r="BS329" s="554"/>
      <c r="BT329" s="554"/>
      <c r="BU329" s="554"/>
      <c r="BV329" s="554"/>
      <c r="BW329" s="554"/>
      <c r="BX329" s="554"/>
      <c r="BY329" s="554"/>
      <c r="BZ329" s="554"/>
      <c r="CA329" s="554"/>
      <c r="CB329" s="554"/>
      <c r="CC329" s="554"/>
      <c r="CD329" s="554"/>
      <c r="CE329" s="554"/>
      <c r="CF329" s="554"/>
      <c r="CG329" s="554"/>
      <c r="CH329" s="554"/>
      <c r="CI329" s="554"/>
      <c r="CJ329" s="554"/>
      <c r="CK329" s="554"/>
      <c r="CL329" s="554"/>
      <c r="CM329" s="554"/>
      <c r="CN329" s="554"/>
      <c r="CO329" s="554"/>
      <c r="CP329" s="554"/>
      <c r="CQ329" s="554"/>
      <c r="CR329" s="554"/>
      <c r="CS329" s="554"/>
      <c r="CT329" s="554"/>
      <c r="CU329" s="554"/>
      <c r="CV329" s="554"/>
      <c r="CW329" s="554"/>
      <c r="CX329" s="554"/>
      <c r="CY329" s="554"/>
      <c r="CZ329" s="554"/>
      <c r="DA329" s="554"/>
      <c r="DB329" s="554"/>
      <c r="DC329" s="554"/>
      <c r="DD329" s="554"/>
      <c r="DE329" s="534"/>
      <c r="DF329" s="534"/>
      <c r="DG329" s="534"/>
    </row>
    <row r="330" spans="1:111" ht="15" x14ac:dyDescent="0.25">
      <c r="A330" s="549">
        <f>IFERROR(IF(INDEX('Weather Cases'!$E$10:$E$94,MATCH('Load Criteria'!X330,'Weather Cases'!$H$10:$H$94,0),1)=1,1,"-"),"-")</f>
        <v>1</v>
      </c>
      <c r="B330" s="555" t="s">
        <v>558</v>
      </c>
      <c r="C330" s="556" t="str">
        <f>IF('Weather Cases'!$E$44=0,"","DC")</f>
        <v>DC</v>
      </c>
      <c r="D330" s="555" t="s">
        <v>579</v>
      </c>
      <c r="E330" s="556">
        <v>2</v>
      </c>
      <c r="F330" s="556" t="s">
        <v>22</v>
      </c>
      <c r="G330" s="556" t="str">
        <f>IFERROR(IF(MID('Load Criteria'!X330,FIND("_",'Load Criteria'!X330,1)+1,1)=LEFT(Control!$D$23,1),"YES","-"),"-")</f>
        <v>-</v>
      </c>
      <c r="H330" s="549" t="s">
        <v>22</v>
      </c>
      <c r="I330" s="557" t="s">
        <v>331</v>
      </c>
      <c r="J330" s="550">
        <f>Control!$D$25</f>
        <v>1</v>
      </c>
      <c r="K330" s="508" t="s">
        <v>571</v>
      </c>
      <c r="L330" s="508" t="s">
        <v>24</v>
      </c>
      <c r="M330" s="550">
        <v>4</v>
      </c>
      <c r="N330" s="550">
        <v>6</v>
      </c>
      <c r="O330" s="550"/>
      <c r="P330" s="392"/>
      <c r="Q330" s="392"/>
      <c r="R330" s="392"/>
      <c r="S330" s="392"/>
      <c r="T330" s="392"/>
      <c r="U330" s="255" t="s">
        <v>568</v>
      </c>
      <c r="V330" s="551"/>
      <c r="W330" s="542" t="str">
        <f t="shared" si="494"/>
        <v>RS0001_8+TA46 NA+</v>
      </c>
      <c r="X330" s="552" t="str">
        <f>I330&amp;TEXT(J330,"0000")&amp;"_"&amp;LEFT(Control!$D$22,LEN(Control!$D$22)-2)</f>
        <v>RS0001_8</v>
      </c>
      <c r="Y330" s="552" t="s">
        <v>433</v>
      </c>
      <c r="Z330" s="552" t="str">
        <f t="shared" si="476"/>
        <v>NA+</v>
      </c>
      <c r="AA330" s="552"/>
      <c r="AB330" s="552">
        <v>1</v>
      </c>
      <c r="AC330" s="552">
        <v>1</v>
      </c>
      <c r="AD330" s="552">
        <v>1</v>
      </c>
      <c r="AE330" s="552">
        <v>1</v>
      </c>
      <c r="AF330" s="552">
        <v>1</v>
      </c>
      <c r="AG330" s="542" t="s">
        <v>561</v>
      </c>
      <c r="AH330" s="552">
        <v>0</v>
      </c>
      <c r="AI330" s="552">
        <v>0</v>
      </c>
      <c r="AJ330" s="552">
        <v>1</v>
      </c>
      <c r="AK330" s="552">
        <v>1</v>
      </c>
      <c r="AL330" s="552">
        <v>1</v>
      </c>
      <c r="AM330" s="552">
        <v>0</v>
      </c>
      <c r="AN330" s="552">
        <v>0</v>
      </c>
      <c r="AO330" s="552">
        <v>1</v>
      </c>
      <c r="AP330" s="552">
        <v>1</v>
      </c>
      <c r="AQ330" s="552">
        <v>1</v>
      </c>
      <c r="AR330" s="552">
        <v>1</v>
      </c>
      <c r="AS330" s="552">
        <v>1</v>
      </c>
      <c r="AT330" s="552">
        <v>1</v>
      </c>
      <c r="AU330" s="552">
        <v>1</v>
      </c>
      <c r="AV330" s="553" t="str">
        <f>IF(H330="YES",IF($AV$2="Y","'"&amp;INDEX('Structure Groups'!$C$12:$C$14,MATCH($B$5,'Structure Groups'!$B$12:$B$14,0),1)&amp;"'","'"&amp;INDEX('Structure Groups'!$C$16:$C$18,MATCH($B$5,'Structure Groups'!$B$16:$B$18,0),1)&amp;"'"),IF($AV$2="Y","'All'","'Stop'"))</f>
        <v>'Stop'</v>
      </c>
      <c r="AW330" s="552" t="s">
        <v>562</v>
      </c>
      <c r="AX330" s="552"/>
      <c r="AY330" s="552" t="str">
        <f t="shared" si="474"/>
        <v>Yes</v>
      </c>
      <c r="AZ330" s="554" t="str">
        <f t="shared" si="477"/>
        <v>4:1:Ahead</v>
      </c>
      <c r="BA330" s="554" t="str">
        <f t="shared" si="478"/>
        <v>Broken Wire (# Broken Subconductors)</v>
      </c>
      <c r="BB330" s="552">
        <f t="shared" si="479"/>
        <v>4</v>
      </c>
      <c r="BC330" s="554" t="str">
        <f t="shared" si="480"/>
        <v>14:1:Ahead</v>
      </c>
      <c r="BD330" s="554" t="str">
        <f t="shared" si="481"/>
        <v>Broken Wire (# Broken Subconductors)</v>
      </c>
      <c r="BE330" s="552">
        <f t="shared" si="482"/>
        <v>4</v>
      </c>
      <c r="BF330" s="554" t="str">
        <f t="shared" si="510"/>
        <v>6:1:Ahead</v>
      </c>
      <c r="BG330" s="554" t="str">
        <f t="shared" si="483"/>
        <v>Broken Wire (# Broken Subconductors)</v>
      </c>
      <c r="BH330" s="552">
        <f t="shared" si="484"/>
        <v>4</v>
      </c>
      <c r="BI330" s="554" t="str">
        <f t="shared" si="485"/>
        <v>16:1:Ahead</v>
      </c>
      <c r="BJ330" s="554" t="str">
        <f t="shared" si="486"/>
        <v>Broken Wire (# Broken Subconductors)</v>
      </c>
      <c r="BK330" s="552">
        <f t="shared" si="487"/>
        <v>4</v>
      </c>
      <c r="BL330" s="554" t="str">
        <f t="shared" si="488"/>
        <v/>
      </c>
      <c r="BM330" s="554" t="str">
        <f t="shared" si="489"/>
        <v/>
      </c>
      <c r="BN330" s="552" t="str">
        <f t="shared" si="490"/>
        <v/>
      </c>
      <c r="BO330" s="554" t="str">
        <f t="shared" si="491"/>
        <v/>
      </c>
      <c r="BP330" s="554" t="str">
        <f t="shared" si="492"/>
        <v/>
      </c>
      <c r="BQ330" s="552" t="str">
        <f t="shared" si="493"/>
        <v/>
      </c>
      <c r="BR330" s="554"/>
      <c r="BS330" s="554"/>
      <c r="BT330" s="554"/>
      <c r="BU330" s="554"/>
      <c r="BV330" s="554"/>
      <c r="BW330" s="554"/>
      <c r="BX330" s="554"/>
      <c r="BY330" s="554"/>
      <c r="BZ330" s="554"/>
      <c r="CA330" s="554"/>
      <c r="CB330" s="554"/>
      <c r="CC330" s="554"/>
      <c r="CD330" s="554"/>
      <c r="CE330" s="554"/>
      <c r="CF330" s="554"/>
      <c r="CG330" s="554"/>
      <c r="CH330" s="554"/>
      <c r="CI330" s="554"/>
      <c r="CJ330" s="554"/>
      <c r="CK330" s="554"/>
      <c r="CL330" s="554"/>
      <c r="CM330" s="554"/>
      <c r="CN330" s="554"/>
      <c r="CO330" s="554"/>
      <c r="CP330" s="554"/>
      <c r="CQ330" s="554"/>
      <c r="CR330" s="554"/>
      <c r="CS330" s="554"/>
      <c r="CT330" s="554"/>
      <c r="CU330" s="554"/>
      <c r="CV330" s="554"/>
      <c r="CW330" s="554"/>
      <c r="CX330" s="554"/>
      <c r="CY330" s="554"/>
      <c r="CZ330" s="554"/>
      <c r="DA330" s="554"/>
      <c r="DB330" s="554"/>
      <c r="DC330" s="554"/>
      <c r="DD330" s="554"/>
      <c r="DE330" s="534"/>
      <c r="DF330" s="534"/>
      <c r="DG330" s="534"/>
    </row>
    <row r="331" spans="1:111" ht="15" x14ac:dyDescent="0.25">
      <c r="A331" s="549">
        <f>IFERROR(IF(INDEX('Weather Cases'!$E$10:$E$94,MATCH('Load Criteria'!X331,'Weather Cases'!$H$10:$H$94,0),1)=1,1,"-"),"-")</f>
        <v>1</v>
      </c>
      <c r="B331" s="555" t="s">
        <v>558</v>
      </c>
      <c r="C331" s="556" t="str">
        <f>IF('Weather Cases'!$E$44=0,"","DC")</f>
        <v>DC</v>
      </c>
      <c r="D331" s="555" t="s">
        <v>579</v>
      </c>
      <c r="E331" s="556">
        <v>2</v>
      </c>
      <c r="F331" s="556" t="s">
        <v>22</v>
      </c>
      <c r="G331" s="556" t="str">
        <f>IFERROR(IF(MID('Load Criteria'!X331,FIND("_",'Load Criteria'!X331,1)+1,1)=LEFT(Control!$D$23,1),"YES","-"),"-")</f>
        <v>-</v>
      </c>
      <c r="H331" s="549" t="s">
        <v>22</v>
      </c>
      <c r="I331" s="557" t="s">
        <v>331</v>
      </c>
      <c r="J331" s="550">
        <f>Control!$D$25</f>
        <v>1</v>
      </c>
      <c r="K331" s="508" t="s">
        <v>571</v>
      </c>
      <c r="L331" s="508" t="s">
        <v>24</v>
      </c>
      <c r="M331" s="550">
        <v>5</v>
      </c>
      <c r="N331" s="550">
        <v>6</v>
      </c>
      <c r="O331" s="550"/>
      <c r="P331" s="392"/>
      <c r="Q331" s="392"/>
      <c r="R331" s="392"/>
      <c r="S331" s="392"/>
      <c r="T331" s="392"/>
      <c r="U331" s="255" t="s">
        <v>568</v>
      </c>
      <c r="V331" s="551"/>
      <c r="W331" s="542" t="str">
        <f t="shared" si="494"/>
        <v>RS0001_8+TA56 NA+</v>
      </c>
      <c r="X331" s="552" t="str">
        <f>I331&amp;TEXT(J331,"0000")&amp;"_"&amp;LEFT(Control!$D$22,LEN(Control!$D$22)-2)</f>
        <v>RS0001_8</v>
      </c>
      <c r="Y331" s="552" t="s">
        <v>433</v>
      </c>
      <c r="Z331" s="552" t="str">
        <f t="shared" si="476"/>
        <v>NA+</v>
      </c>
      <c r="AA331" s="552"/>
      <c r="AB331" s="552">
        <v>1</v>
      </c>
      <c r="AC331" s="552">
        <v>1</v>
      </c>
      <c r="AD331" s="552">
        <v>1</v>
      </c>
      <c r="AE331" s="552">
        <v>1</v>
      </c>
      <c r="AF331" s="552">
        <v>1</v>
      </c>
      <c r="AG331" s="542" t="s">
        <v>561</v>
      </c>
      <c r="AH331" s="552">
        <v>0</v>
      </c>
      <c r="AI331" s="552">
        <v>0</v>
      </c>
      <c r="AJ331" s="552">
        <v>1</v>
      </c>
      <c r="AK331" s="552">
        <v>1</v>
      </c>
      <c r="AL331" s="552">
        <v>1</v>
      </c>
      <c r="AM331" s="552">
        <v>0</v>
      </c>
      <c r="AN331" s="552">
        <v>0</v>
      </c>
      <c r="AO331" s="552">
        <v>1</v>
      </c>
      <c r="AP331" s="552">
        <v>1</v>
      </c>
      <c r="AQ331" s="552">
        <v>1</v>
      </c>
      <c r="AR331" s="552">
        <v>1</v>
      </c>
      <c r="AS331" s="552">
        <v>1</v>
      </c>
      <c r="AT331" s="552">
        <v>1</v>
      </c>
      <c r="AU331" s="552">
        <v>1</v>
      </c>
      <c r="AV331" s="553" t="str">
        <f>IF(H331="YES",IF($AV$2="Y","'"&amp;INDEX('Structure Groups'!$C$12:$C$14,MATCH($B$5,'Structure Groups'!$B$12:$B$14,0),1)&amp;"'","'"&amp;INDEX('Structure Groups'!$C$16:$C$18,MATCH($B$5,'Structure Groups'!$B$16:$B$18,0),1)&amp;"'"),IF($AV$2="Y","'All'","'Stop'"))</f>
        <v>'Stop'</v>
      </c>
      <c r="AW331" s="552" t="s">
        <v>562</v>
      </c>
      <c r="AX331" s="552"/>
      <c r="AY331" s="552" t="str">
        <f t="shared" si="474"/>
        <v>Yes</v>
      </c>
      <c r="AZ331" s="554" t="str">
        <f t="shared" si="477"/>
        <v>5:1:Ahead</v>
      </c>
      <c r="BA331" s="554" t="str">
        <f t="shared" si="478"/>
        <v>Broken Wire (# Broken Subconductors)</v>
      </c>
      <c r="BB331" s="552">
        <f t="shared" si="479"/>
        <v>4</v>
      </c>
      <c r="BC331" s="554" t="str">
        <f t="shared" si="480"/>
        <v>15:1:Ahead</v>
      </c>
      <c r="BD331" s="554" t="str">
        <f t="shared" si="481"/>
        <v>Broken Wire (# Broken Subconductors)</v>
      </c>
      <c r="BE331" s="552">
        <f t="shared" si="482"/>
        <v>4</v>
      </c>
      <c r="BF331" s="554" t="str">
        <f t="shared" si="510"/>
        <v>6:1:Ahead</v>
      </c>
      <c r="BG331" s="554" t="str">
        <f t="shared" si="483"/>
        <v>Broken Wire (# Broken Subconductors)</v>
      </c>
      <c r="BH331" s="552">
        <f t="shared" si="484"/>
        <v>4</v>
      </c>
      <c r="BI331" s="554" t="str">
        <f t="shared" si="485"/>
        <v>16:1:Ahead</v>
      </c>
      <c r="BJ331" s="554" t="str">
        <f t="shared" si="486"/>
        <v>Broken Wire (# Broken Subconductors)</v>
      </c>
      <c r="BK331" s="552">
        <f t="shared" si="487"/>
        <v>4</v>
      </c>
      <c r="BL331" s="554" t="str">
        <f t="shared" si="488"/>
        <v/>
      </c>
      <c r="BM331" s="554" t="str">
        <f t="shared" si="489"/>
        <v/>
      </c>
      <c r="BN331" s="552" t="str">
        <f t="shared" si="490"/>
        <v/>
      </c>
      <c r="BO331" s="554" t="str">
        <f t="shared" si="491"/>
        <v/>
      </c>
      <c r="BP331" s="554" t="str">
        <f t="shared" si="492"/>
        <v/>
      </c>
      <c r="BQ331" s="552" t="str">
        <f t="shared" si="493"/>
        <v/>
      </c>
      <c r="BR331" s="554"/>
      <c r="BS331" s="554"/>
      <c r="BT331" s="554"/>
      <c r="BU331" s="554"/>
      <c r="BV331" s="554"/>
      <c r="BW331" s="554"/>
      <c r="BX331" s="554"/>
      <c r="BY331" s="554"/>
      <c r="BZ331" s="554"/>
      <c r="CA331" s="554"/>
      <c r="CB331" s="554"/>
      <c r="CC331" s="554"/>
      <c r="CD331" s="554"/>
      <c r="CE331" s="554"/>
      <c r="CF331" s="554"/>
      <c r="CG331" s="554"/>
      <c r="CH331" s="554"/>
      <c r="CI331" s="554"/>
      <c r="CJ331" s="554"/>
      <c r="CK331" s="554"/>
      <c r="CL331" s="554"/>
      <c r="CM331" s="554"/>
      <c r="CN331" s="554"/>
      <c r="CO331" s="554"/>
      <c r="CP331" s="554"/>
      <c r="CQ331" s="554"/>
      <c r="CR331" s="554"/>
      <c r="CS331" s="554"/>
      <c r="CT331" s="554"/>
      <c r="CU331" s="554"/>
      <c r="CV331" s="554"/>
      <c r="CW331" s="554"/>
      <c r="CX331" s="554"/>
      <c r="CY331" s="554"/>
      <c r="CZ331" s="554"/>
      <c r="DA331" s="554"/>
      <c r="DB331" s="554"/>
      <c r="DC331" s="554"/>
      <c r="DD331" s="554"/>
      <c r="DE331" s="534"/>
      <c r="DF331" s="534"/>
      <c r="DG331" s="534"/>
    </row>
    <row r="332" spans="1:111" ht="15" x14ac:dyDescent="0.25">
      <c r="A332" s="549">
        <f>IFERROR(IF(INDEX('Weather Cases'!$E$10:$E$94,MATCH('Load Criteria'!X332,'Weather Cases'!$H$10:$H$94,0),1)=1,1,"-"),"-")</f>
        <v>1</v>
      </c>
      <c r="B332" s="555" t="s">
        <v>558</v>
      </c>
      <c r="C332" s="556" t="str">
        <f>IF('Weather Cases'!$E$44=0,"","DC")</f>
        <v>DC</v>
      </c>
      <c r="D332" s="555" t="s">
        <v>579</v>
      </c>
      <c r="E332" s="556">
        <v>2</v>
      </c>
      <c r="F332" s="555" t="s">
        <v>581</v>
      </c>
      <c r="G332" s="556" t="str">
        <f>IFERROR(IF(MID('Load Criteria'!X332,FIND("_",'Load Criteria'!X332,1)+1,1)=LEFT(Control!$D$23,1),"YES","-"),"-")</f>
        <v>-</v>
      </c>
      <c r="H332" s="549" t="s">
        <v>22</v>
      </c>
      <c r="I332" s="557" t="s">
        <v>331</v>
      </c>
      <c r="J332" s="550">
        <f>Control!$D$25</f>
        <v>1</v>
      </c>
      <c r="K332" s="508" t="s">
        <v>571</v>
      </c>
      <c r="L332" s="508" t="s">
        <v>24</v>
      </c>
      <c r="M332" s="550">
        <v>6</v>
      </c>
      <c r="N332" s="550">
        <v>8</v>
      </c>
      <c r="O332" s="550"/>
      <c r="P332" s="392"/>
      <c r="Q332" s="392"/>
      <c r="R332" s="392"/>
      <c r="S332" s="392"/>
      <c r="T332" s="392"/>
      <c r="U332" s="255" t="s">
        <v>568</v>
      </c>
      <c r="V332" s="551"/>
      <c r="W332" s="542" t="str">
        <f t="shared" si="494"/>
        <v>RS0001_8+TA68 NA+</v>
      </c>
      <c r="X332" s="552" t="str">
        <f>I332&amp;TEXT(J332,"0000")&amp;"_"&amp;LEFT(Control!$D$22,LEN(Control!$D$22)-2)</f>
        <v>RS0001_8</v>
      </c>
      <c r="Y332" s="552" t="s">
        <v>433</v>
      </c>
      <c r="Z332" s="552" t="str">
        <f t="shared" si="476"/>
        <v>NA+</v>
      </c>
      <c r="AA332" s="552"/>
      <c r="AB332" s="552">
        <v>1</v>
      </c>
      <c r="AC332" s="552">
        <v>1</v>
      </c>
      <c r="AD332" s="552">
        <v>1</v>
      </c>
      <c r="AE332" s="552">
        <v>1</v>
      </c>
      <c r="AF332" s="552">
        <v>1</v>
      </c>
      <c r="AG332" s="542" t="s">
        <v>561</v>
      </c>
      <c r="AH332" s="552">
        <v>0</v>
      </c>
      <c r="AI332" s="552">
        <v>0</v>
      </c>
      <c r="AJ332" s="552">
        <v>1</v>
      </c>
      <c r="AK332" s="552">
        <v>1</v>
      </c>
      <c r="AL332" s="552">
        <v>1</v>
      </c>
      <c r="AM332" s="552">
        <v>0</v>
      </c>
      <c r="AN332" s="552">
        <v>0</v>
      </c>
      <c r="AO332" s="552">
        <v>1</v>
      </c>
      <c r="AP332" s="552">
        <v>1</v>
      </c>
      <c r="AQ332" s="552">
        <v>1</v>
      </c>
      <c r="AR332" s="552">
        <v>1</v>
      </c>
      <c r="AS332" s="552">
        <v>1</v>
      </c>
      <c r="AT332" s="552">
        <v>1</v>
      </c>
      <c r="AU332" s="552">
        <v>1</v>
      </c>
      <c r="AV332" s="553" t="str">
        <f>IF(H332="YES",IF($AV$2="Y","'"&amp;INDEX('Structure Groups'!$C$12:$C$14,MATCH($B$5,'Structure Groups'!$B$12:$B$14,0),1)&amp;"'","'"&amp;INDEX('Structure Groups'!$C$16:$C$18,MATCH($B$5,'Structure Groups'!$B$16:$B$18,0),1)&amp;"'"),IF($AV$2="Y","'All'","'Stop'"))</f>
        <v>'Stop'</v>
      </c>
      <c r="AW332" s="552" t="s">
        <v>562</v>
      </c>
      <c r="AX332" s="552"/>
      <c r="AY332" s="552" t="str">
        <f t="shared" si="474"/>
        <v>Yes</v>
      </c>
      <c r="AZ332" s="554" t="str">
        <f t="shared" si="477"/>
        <v>6:1:Ahead</v>
      </c>
      <c r="BA332" s="554" t="str">
        <f t="shared" si="478"/>
        <v>Broken Wire (# Broken Subconductors)</v>
      </c>
      <c r="BB332" s="552">
        <f t="shared" si="479"/>
        <v>4</v>
      </c>
      <c r="BC332" s="554" t="str">
        <f t="shared" si="480"/>
        <v>16:1:Ahead</v>
      </c>
      <c r="BD332" s="554" t="str">
        <f t="shared" si="481"/>
        <v>Broken Wire (# Broken Subconductors)</v>
      </c>
      <c r="BE332" s="552">
        <f t="shared" si="482"/>
        <v>4</v>
      </c>
      <c r="BF332" s="554" t="str">
        <f t="shared" si="510"/>
        <v>8:1:Ahead</v>
      </c>
      <c r="BG332" s="554" t="str">
        <f t="shared" si="483"/>
        <v>Broken Wire (# Broken Subconductors)</v>
      </c>
      <c r="BH332" s="552">
        <f t="shared" si="484"/>
        <v>4</v>
      </c>
      <c r="BI332" s="554" t="str">
        <f t="shared" si="485"/>
        <v>18:1:Ahead</v>
      </c>
      <c r="BJ332" s="554" t="str">
        <f t="shared" si="486"/>
        <v>Broken Wire (# Broken Subconductors)</v>
      </c>
      <c r="BK332" s="552">
        <f t="shared" si="487"/>
        <v>4</v>
      </c>
      <c r="BL332" s="554" t="str">
        <f t="shared" si="488"/>
        <v/>
      </c>
      <c r="BM332" s="554" t="str">
        <f t="shared" si="489"/>
        <v/>
      </c>
      <c r="BN332" s="552" t="str">
        <f t="shared" si="490"/>
        <v/>
      </c>
      <c r="BO332" s="554" t="str">
        <f t="shared" si="491"/>
        <v/>
      </c>
      <c r="BP332" s="554" t="str">
        <f t="shared" si="492"/>
        <v/>
      </c>
      <c r="BQ332" s="552" t="str">
        <f t="shared" si="493"/>
        <v/>
      </c>
      <c r="BR332" s="554"/>
      <c r="BS332" s="554"/>
      <c r="BT332" s="554"/>
      <c r="BU332" s="554"/>
      <c r="BV332" s="554"/>
      <c r="BW332" s="554"/>
      <c r="BX332" s="554"/>
      <c r="BY332" s="554"/>
      <c r="BZ332" s="554"/>
      <c r="CA332" s="554"/>
      <c r="CB332" s="554"/>
      <c r="CC332" s="554"/>
      <c r="CD332" s="554"/>
      <c r="CE332" s="554"/>
      <c r="CF332" s="554"/>
      <c r="CG332" s="554"/>
      <c r="CH332" s="554"/>
      <c r="CI332" s="554"/>
      <c r="CJ332" s="554"/>
      <c r="CK332" s="554"/>
      <c r="CL332" s="554"/>
      <c r="CM332" s="554"/>
      <c r="CN332" s="554"/>
      <c r="CO332" s="554"/>
      <c r="CP332" s="554"/>
      <c r="CQ332" s="554"/>
      <c r="CR332" s="554"/>
      <c r="CS332" s="554"/>
      <c r="CT332" s="554"/>
      <c r="CU332" s="554"/>
      <c r="CV332" s="554"/>
      <c r="CW332" s="554"/>
      <c r="CX332" s="554"/>
      <c r="CY332" s="554"/>
      <c r="CZ332" s="554"/>
      <c r="DA332" s="554"/>
      <c r="DB332" s="554"/>
      <c r="DC332" s="554"/>
      <c r="DD332" s="554"/>
      <c r="DE332" s="534"/>
      <c r="DF332" s="534"/>
      <c r="DG332" s="534"/>
    </row>
    <row r="333" spans="1:111" ht="15" x14ac:dyDescent="0.25">
      <c r="A333" s="549">
        <f>IFERROR(IF(INDEX('Weather Cases'!$E$10:$E$94,MATCH('Load Criteria'!X333,'Weather Cases'!$H$10:$H$94,0),1)=1,1,"-"),"-")</f>
        <v>1</v>
      </c>
      <c r="B333" s="555" t="s">
        <v>558</v>
      </c>
      <c r="C333" s="556" t="str">
        <f>IF('Weather Cases'!$E$44=0,"","DC")</f>
        <v>DC</v>
      </c>
      <c r="D333" s="555" t="s">
        <v>579</v>
      </c>
      <c r="E333" s="556">
        <v>2</v>
      </c>
      <c r="F333" s="556" t="s">
        <v>22</v>
      </c>
      <c r="G333" s="556" t="str">
        <f>IFERROR(IF(MID('Load Criteria'!X333,FIND("_",'Load Criteria'!X333,1)+1,1)=LEFT(Control!$D$23,1),"YES","-"),"-")</f>
        <v>-</v>
      </c>
      <c r="H333" s="549" t="s">
        <v>22</v>
      </c>
      <c r="I333" s="557" t="s">
        <v>331</v>
      </c>
      <c r="J333" s="550">
        <f>Control!$D$25</f>
        <v>1</v>
      </c>
      <c r="K333" s="508" t="s">
        <v>571</v>
      </c>
      <c r="L333" s="508" t="s">
        <v>40</v>
      </c>
      <c r="M333" s="550">
        <v>1</v>
      </c>
      <c r="N333" s="550">
        <v>2</v>
      </c>
      <c r="O333" s="550"/>
      <c r="P333" s="392"/>
      <c r="Q333" s="392"/>
      <c r="R333" s="392"/>
      <c r="S333" s="392"/>
      <c r="T333" s="392"/>
      <c r="U333" s="255" t="s">
        <v>568</v>
      </c>
      <c r="V333" s="551"/>
      <c r="W333" s="542" t="str">
        <f t="shared" si="494"/>
        <v>RS0001_8+TB12 NA+</v>
      </c>
      <c r="X333" s="552" t="str">
        <f>I333&amp;TEXT(J333,"0000")&amp;"_"&amp;LEFT(Control!$D$22,LEN(Control!$D$22)-2)</f>
        <v>RS0001_8</v>
      </c>
      <c r="Y333" s="552" t="s">
        <v>433</v>
      </c>
      <c r="Z333" s="552" t="str">
        <f t="shared" si="476"/>
        <v>NA+</v>
      </c>
      <c r="AA333" s="552"/>
      <c r="AB333" s="552">
        <v>1</v>
      </c>
      <c r="AC333" s="552">
        <v>1</v>
      </c>
      <c r="AD333" s="552">
        <v>1</v>
      </c>
      <c r="AE333" s="552">
        <v>1</v>
      </c>
      <c r="AF333" s="552">
        <v>1</v>
      </c>
      <c r="AG333" s="542" t="s">
        <v>561</v>
      </c>
      <c r="AH333" s="552">
        <v>0</v>
      </c>
      <c r="AI333" s="552">
        <v>0</v>
      </c>
      <c r="AJ333" s="552">
        <v>1</v>
      </c>
      <c r="AK333" s="552">
        <v>1</v>
      </c>
      <c r="AL333" s="552">
        <v>1</v>
      </c>
      <c r="AM333" s="552">
        <v>0</v>
      </c>
      <c r="AN333" s="552">
        <v>0</v>
      </c>
      <c r="AO333" s="552">
        <v>1</v>
      </c>
      <c r="AP333" s="552">
        <v>1</v>
      </c>
      <c r="AQ333" s="552">
        <v>1</v>
      </c>
      <c r="AR333" s="552">
        <v>1</v>
      </c>
      <c r="AS333" s="552">
        <v>1</v>
      </c>
      <c r="AT333" s="552">
        <v>1</v>
      </c>
      <c r="AU333" s="552">
        <v>1</v>
      </c>
      <c r="AV333" s="553" t="str">
        <f>IF(H333="YES",IF($AV$2="Y","'"&amp;INDEX('Structure Groups'!$C$12:$C$14,MATCH($B$5,'Structure Groups'!$B$12:$B$14,0),1)&amp;"'","'"&amp;INDEX('Structure Groups'!$C$16:$C$18,MATCH($B$5,'Structure Groups'!$B$16:$B$18,0),1)&amp;"'"),IF($AV$2="Y","'All'","'Stop'"))</f>
        <v>'Stop'</v>
      </c>
      <c r="AW333" s="552" t="s">
        <v>562</v>
      </c>
      <c r="AX333" s="552"/>
      <c r="AY333" s="552" t="str">
        <f t="shared" ref="AY333:AY356" si="526">IF(L333="","No","Yes")</f>
        <v>Yes</v>
      </c>
      <c r="AZ333" s="554" t="str">
        <f t="shared" si="477"/>
        <v>1:1:Back</v>
      </c>
      <c r="BA333" s="554" t="str">
        <f t="shared" si="478"/>
        <v>Broken Wire (# Broken Subconductors)</v>
      </c>
      <c r="BB333" s="552">
        <f t="shared" si="479"/>
        <v>4</v>
      </c>
      <c r="BC333" s="554" t="str">
        <f t="shared" si="480"/>
        <v>11:1:Back</v>
      </c>
      <c r="BD333" s="554" t="str">
        <f t="shared" si="481"/>
        <v>Broken Wire (# Broken Subconductors)</v>
      </c>
      <c r="BE333" s="552">
        <f t="shared" si="482"/>
        <v>4</v>
      </c>
      <c r="BF333" s="554" t="str">
        <f t="shared" si="510"/>
        <v>2:1:Back</v>
      </c>
      <c r="BG333" s="554" t="str">
        <f t="shared" si="483"/>
        <v>Broken Wire (# Broken Subconductors)</v>
      </c>
      <c r="BH333" s="552">
        <f t="shared" si="484"/>
        <v>4</v>
      </c>
      <c r="BI333" s="554" t="str">
        <f t="shared" si="485"/>
        <v>12:1:Back</v>
      </c>
      <c r="BJ333" s="554" t="str">
        <f t="shared" si="486"/>
        <v>Broken Wire (# Broken Subconductors)</v>
      </c>
      <c r="BK333" s="552">
        <f t="shared" si="487"/>
        <v>4</v>
      </c>
      <c r="BL333" s="554" t="str">
        <f t="shared" si="488"/>
        <v/>
      </c>
      <c r="BM333" s="554" t="str">
        <f t="shared" si="489"/>
        <v/>
      </c>
      <c r="BN333" s="552" t="str">
        <f t="shared" si="490"/>
        <v/>
      </c>
      <c r="BO333" s="554" t="str">
        <f t="shared" si="491"/>
        <v/>
      </c>
      <c r="BP333" s="554" t="str">
        <f t="shared" si="492"/>
        <v/>
      </c>
      <c r="BQ333" s="552" t="str">
        <f t="shared" si="493"/>
        <v/>
      </c>
      <c r="BR333" s="554"/>
      <c r="BS333" s="554"/>
      <c r="BT333" s="554"/>
      <c r="BU333" s="554"/>
      <c r="BV333" s="554"/>
      <c r="BW333" s="554"/>
      <c r="BX333" s="554"/>
      <c r="BY333" s="554"/>
      <c r="BZ333" s="554"/>
      <c r="CA333" s="554"/>
      <c r="CB333" s="554"/>
      <c r="CC333" s="554"/>
      <c r="CD333" s="554"/>
      <c r="CE333" s="554"/>
      <c r="CF333" s="554"/>
      <c r="CG333" s="554"/>
      <c r="CH333" s="554"/>
      <c r="CI333" s="554"/>
      <c r="CJ333" s="554"/>
      <c r="CK333" s="554"/>
      <c r="CL333" s="554"/>
      <c r="CM333" s="554"/>
      <c r="CN333" s="554"/>
      <c r="CO333" s="554"/>
      <c r="CP333" s="554"/>
      <c r="CQ333" s="554"/>
      <c r="CR333" s="554"/>
      <c r="CS333" s="554"/>
      <c r="CT333" s="554"/>
      <c r="CU333" s="554"/>
      <c r="CV333" s="554"/>
      <c r="CW333" s="554"/>
      <c r="CX333" s="554"/>
      <c r="CY333" s="554"/>
      <c r="CZ333" s="554"/>
      <c r="DA333" s="554"/>
      <c r="DB333" s="554"/>
      <c r="DC333" s="554"/>
      <c r="DD333" s="554"/>
      <c r="DE333" s="534"/>
      <c r="DF333" s="534"/>
      <c r="DG333" s="534"/>
    </row>
    <row r="334" spans="1:111" ht="15" x14ac:dyDescent="0.25">
      <c r="A334" s="549">
        <f>IFERROR(IF(INDEX('Weather Cases'!$E$10:$E$94,MATCH('Load Criteria'!X334,'Weather Cases'!$H$10:$H$94,0),1)=1,1,"-"),"-")</f>
        <v>1</v>
      </c>
      <c r="B334" s="555" t="s">
        <v>558</v>
      </c>
      <c r="C334" s="556" t="str">
        <f>IF('Weather Cases'!$E$44=0,"","DC")</f>
        <v>DC</v>
      </c>
      <c r="D334" s="555" t="s">
        <v>579</v>
      </c>
      <c r="E334" s="556">
        <v>2</v>
      </c>
      <c r="F334" s="556" t="s">
        <v>22</v>
      </c>
      <c r="G334" s="556" t="str">
        <f>IFERROR(IF(MID('Load Criteria'!X334,FIND("_",'Load Criteria'!X334,1)+1,1)=LEFT(Control!$D$23,1),"YES","-"),"-")</f>
        <v>-</v>
      </c>
      <c r="H334" s="549" t="s">
        <v>22</v>
      </c>
      <c r="I334" s="557" t="s">
        <v>331</v>
      </c>
      <c r="J334" s="550">
        <f>Control!$D$25</f>
        <v>1</v>
      </c>
      <c r="K334" s="508" t="s">
        <v>571</v>
      </c>
      <c r="L334" s="508" t="s">
        <v>40</v>
      </c>
      <c r="M334" s="550">
        <v>2</v>
      </c>
      <c r="N334" s="550">
        <v>3</v>
      </c>
      <c r="O334" s="550"/>
      <c r="P334" s="392"/>
      <c r="Q334" s="392"/>
      <c r="R334" s="392"/>
      <c r="S334" s="392"/>
      <c r="T334" s="392"/>
      <c r="U334" s="255" t="s">
        <v>568</v>
      </c>
      <c r="V334" s="551"/>
      <c r="W334" s="542" t="str">
        <f t="shared" si="494"/>
        <v>RS0001_8+TB23 NA+</v>
      </c>
      <c r="X334" s="552" t="str">
        <f>I334&amp;TEXT(J334,"0000")&amp;"_"&amp;LEFT(Control!$D$22,LEN(Control!$D$22)-2)</f>
        <v>RS0001_8</v>
      </c>
      <c r="Y334" s="552" t="s">
        <v>433</v>
      </c>
      <c r="Z334" s="552" t="str">
        <f t="shared" si="476"/>
        <v>NA+</v>
      </c>
      <c r="AA334" s="552"/>
      <c r="AB334" s="552">
        <v>1</v>
      </c>
      <c r="AC334" s="552">
        <v>1</v>
      </c>
      <c r="AD334" s="552">
        <v>1</v>
      </c>
      <c r="AE334" s="552">
        <v>1</v>
      </c>
      <c r="AF334" s="552">
        <v>1</v>
      </c>
      <c r="AG334" s="542" t="s">
        <v>561</v>
      </c>
      <c r="AH334" s="552">
        <v>0</v>
      </c>
      <c r="AI334" s="552">
        <v>0</v>
      </c>
      <c r="AJ334" s="552">
        <v>1</v>
      </c>
      <c r="AK334" s="552">
        <v>1</v>
      </c>
      <c r="AL334" s="552">
        <v>1</v>
      </c>
      <c r="AM334" s="552">
        <v>0</v>
      </c>
      <c r="AN334" s="552">
        <v>0</v>
      </c>
      <c r="AO334" s="552">
        <v>1</v>
      </c>
      <c r="AP334" s="552">
        <v>1</v>
      </c>
      <c r="AQ334" s="552">
        <v>1</v>
      </c>
      <c r="AR334" s="552">
        <v>1</v>
      </c>
      <c r="AS334" s="552">
        <v>1</v>
      </c>
      <c r="AT334" s="552">
        <v>1</v>
      </c>
      <c r="AU334" s="552">
        <v>1</v>
      </c>
      <c r="AV334" s="553" t="str">
        <f>IF(H334="YES",IF($AV$2="Y","'"&amp;INDEX('Structure Groups'!$C$12:$C$14,MATCH($B$5,'Structure Groups'!$B$12:$B$14,0),1)&amp;"'","'"&amp;INDEX('Structure Groups'!$C$16:$C$18,MATCH($B$5,'Structure Groups'!$B$16:$B$18,0),1)&amp;"'"),IF($AV$2="Y","'All'","'Stop'"))</f>
        <v>'Stop'</v>
      </c>
      <c r="AW334" s="552" t="s">
        <v>562</v>
      </c>
      <c r="AX334" s="552"/>
      <c r="AY334" s="552" t="str">
        <f t="shared" si="526"/>
        <v>Yes</v>
      </c>
      <c r="AZ334" s="554" t="str">
        <f t="shared" si="477"/>
        <v>2:1:Back</v>
      </c>
      <c r="BA334" s="554" t="str">
        <f t="shared" si="478"/>
        <v>Broken Wire (# Broken Subconductors)</v>
      </c>
      <c r="BB334" s="552">
        <f t="shared" si="479"/>
        <v>4</v>
      </c>
      <c r="BC334" s="554" t="str">
        <f t="shared" si="480"/>
        <v>12:1:Back</v>
      </c>
      <c r="BD334" s="554" t="str">
        <f t="shared" si="481"/>
        <v>Broken Wire (# Broken Subconductors)</v>
      </c>
      <c r="BE334" s="552">
        <f t="shared" si="482"/>
        <v>4</v>
      </c>
      <c r="BF334" s="554" t="str">
        <f t="shared" si="510"/>
        <v>3:1:Back</v>
      </c>
      <c r="BG334" s="554" t="str">
        <f t="shared" si="483"/>
        <v>Broken Wire (# Broken Subconductors)</v>
      </c>
      <c r="BH334" s="552">
        <f t="shared" si="484"/>
        <v>4</v>
      </c>
      <c r="BI334" s="554" t="str">
        <f t="shared" si="485"/>
        <v>13:1:Back</v>
      </c>
      <c r="BJ334" s="554" t="str">
        <f t="shared" si="486"/>
        <v>Broken Wire (# Broken Subconductors)</v>
      </c>
      <c r="BK334" s="552">
        <f t="shared" si="487"/>
        <v>4</v>
      </c>
      <c r="BL334" s="554" t="str">
        <f t="shared" si="488"/>
        <v/>
      </c>
      <c r="BM334" s="554" t="str">
        <f t="shared" si="489"/>
        <v/>
      </c>
      <c r="BN334" s="552" t="str">
        <f t="shared" si="490"/>
        <v/>
      </c>
      <c r="BO334" s="554" t="str">
        <f t="shared" si="491"/>
        <v/>
      </c>
      <c r="BP334" s="554" t="str">
        <f t="shared" si="492"/>
        <v/>
      </c>
      <c r="BQ334" s="552" t="str">
        <f t="shared" si="493"/>
        <v/>
      </c>
      <c r="BR334" s="554"/>
      <c r="BS334" s="554"/>
      <c r="BT334" s="554"/>
      <c r="BU334" s="554"/>
      <c r="BV334" s="554"/>
      <c r="BW334" s="554"/>
      <c r="BX334" s="554"/>
      <c r="BY334" s="554"/>
      <c r="BZ334" s="554"/>
      <c r="CA334" s="554"/>
      <c r="CB334" s="554"/>
      <c r="CC334" s="554"/>
      <c r="CD334" s="554"/>
      <c r="CE334" s="554"/>
      <c r="CF334" s="554"/>
      <c r="CG334" s="554"/>
      <c r="CH334" s="554"/>
      <c r="CI334" s="554"/>
      <c r="CJ334" s="554"/>
      <c r="CK334" s="554"/>
      <c r="CL334" s="554"/>
      <c r="CM334" s="554"/>
      <c r="CN334" s="554"/>
      <c r="CO334" s="554"/>
      <c r="CP334" s="554"/>
      <c r="CQ334" s="554"/>
      <c r="CR334" s="554"/>
      <c r="CS334" s="554"/>
      <c r="CT334" s="554"/>
      <c r="CU334" s="554"/>
      <c r="CV334" s="554"/>
      <c r="CW334" s="554"/>
      <c r="CX334" s="554"/>
      <c r="CY334" s="554"/>
      <c r="CZ334" s="554"/>
      <c r="DA334" s="554"/>
      <c r="DB334" s="554"/>
      <c r="DC334" s="554"/>
      <c r="DD334" s="554"/>
      <c r="DE334" s="534"/>
      <c r="DF334" s="534"/>
      <c r="DG334" s="534"/>
    </row>
    <row r="335" spans="1:111" ht="15" x14ac:dyDescent="0.25">
      <c r="A335" s="549">
        <f>IFERROR(IF(INDEX('Weather Cases'!$E$10:$E$94,MATCH('Load Criteria'!X335,'Weather Cases'!$H$10:$H$94,0),1)=1,1,"-"),"-")</f>
        <v>1</v>
      </c>
      <c r="B335" s="555" t="s">
        <v>558</v>
      </c>
      <c r="C335" s="556" t="str">
        <f>IF('Weather Cases'!$E$44=0,"","DC")</f>
        <v>DC</v>
      </c>
      <c r="D335" s="555" t="s">
        <v>579</v>
      </c>
      <c r="E335" s="556">
        <v>2</v>
      </c>
      <c r="F335" s="556" t="s">
        <v>22</v>
      </c>
      <c r="G335" s="556" t="str">
        <f>IFERROR(IF(MID('Load Criteria'!X335,FIND("_",'Load Criteria'!X335,1)+1,1)=LEFT(Control!$D$23,1),"YES","-"),"-")</f>
        <v>-</v>
      </c>
      <c r="H335" s="549" t="s">
        <v>22</v>
      </c>
      <c r="I335" s="557" t="s">
        <v>331</v>
      </c>
      <c r="J335" s="550">
        <f>Control!$D$25</f>
        <v>1</v>
      </c>
      <c r="K335" s="508" t="s">
        <v>571</v>
      </c>
      <c r="L335" s="508" t="s">
        <v>40</v>
      </c>
      <c r="M335" s="550">
        <v>1</v>
      </c>
      <c r="N335" s="550">
        <v>3</v>
      </c>
      <c r="O335" s="550"/>
      <c r="P335" s="392"/>
      <c r="Q335" s="392"/>
      <c r="R335" s="392"/>
      <c r="S335" s="392"/>
      <c r="T335" s="392"/>
      <c r="U335" s="255" t="s">
        <v>568</v>
      </c>
      <c r="V335" s="551"/>
      <c r="W335" s="542" t="str">
        <f t="shared" si="494"/>
        <v>RS0001_8+TB13 NA+</v>
      </c>
      <c r="X335" s="552" t="str">
        <f>I335&amp;TEXT(J335,"0000")&amp;"_"&amp;LEFT(Control!$D$22,LEN(Control!$D$22)-2)</f>
        <v>RS0001_8</v>
      </c>
      <c r="Y335" s="552" t="s">
        <v>433</v>
      </c>
      <c r="Z335" s="552" t="str">
        <f t="shared" si="476"/>
        <v>NA+</v>
      </c>
      <c r="AA335" s="552"/>
      <c r="AB335" s="552">
        <v>1</v>
      </c>
      <c r="AC335" s="552">
        <v>1</v>
      </c>
      <c r="AD335" s="552">
        <v>1</v>
      </c>
      <c r="AE335" s="552">
        <v>1</v>
      </c>
      <c r="AF335" s="552">
        <v>1</v>
      </c>
      <c r="AG335" s="542" t="s">
        <v>561</v>
      </c>
      <c r="AH335" s="552">
        <v>0</v>
      </c>
      <c r="AI335" s="552">
        <v>0</v>
      </c>
      <c r="AJ335" s="552">
        <v>1</v>
      </c>
      <c r="AK335" s="552">
        <v>1</v>
      </c>
      <c r="AL335" s="552">
        <v>1</v>
      </c>
      <c r="AM335" s="552">
        <v>0</v>
      </c>
      <c r="AN335" s="552">
        <v>0</v>
      </c>
      <c r="AO335" s="552">
        <v>1</v>
      </c>
      <c r="AP335" s="552">
        <v>1</v>
      </c>
      <c r="AQ335" s="552">
        <v>1</v>
      </c>
      <c r="AR335" s="552">
        <v>1</v>
      </c>
      <c r="AS335" s="552">
        <v>1</v>
      </c>
      <c r="AT335" s="552">
        <v>1</v>
      </c>
      <c r="AU335" s="552">
        <v>1</v>
      </c>
      <c r="AV335" s="553" t="str">
        <f>IF(H335="YES",IF($AV$2="Y","'"&amp;INDEX('Structure Groups'!$C$12:$C$14,MATCH($B$5,'Structure Groups'!$B$12:$B$14,0),1)&amp;"'","'"&amp;INDEX('Structure Groups'!$C$16:$C$18,MATCH($B$5,'Structure Groups'!$B$16:$B$18,0),1)&amp;"'"),IF($AV$2="Y","'All'","'Stop'"))</f>
        <v>'Stop'</v>
      </c>
      <c r="AW335" s="552" t="s">
        <v>562</v>
      </c>
      <c r="AX335" s="552"/>
      <c r="AY335" s="552" t="str">
        <f t="shared" si="526"/>
        <v>Yes</v>
      </c>
      <c r="AZ335" s="554" t="str">
        <f t="shared" si="477"/>
        <v>1:1:Back</v>
      </c>
      <c r="BA335" s="554" t="str">
        <f t="shared" si="478"/>
        <v>Broken Wire (# Broken Subconductors)</v>
      </c>
      <c r="BB335" s="552">
        <f t="shared" si="479"/>
        <v>4</v>
      </c>
      <c r="BC335" s="554" t="str">
        <f t="shared" si="480"/>
        <v>11:1:Back</v>
      </c>
      <c r="BD335" s="554" t="str">
        <f t="shared" si="481"/>
        <v>Broken Wire (# Broken Subconductors)</v>
      </c>
      <c r="BE335" s="552">
        <f t="shared" si="482"/>
        <v>4</v>
      </c>
      <c r="BF335" s="554" t="str">
        <f t="shared" si="510"/>
        <v>3:1:Back</v>
      </c>
      <c r="BG335" s="554" t="str">
        <f t="shared" si="483"/>
        <v>Broken Wire (# Broken Subconductors)</v>
      </c>
      <c r="BH335" s="552">
        <f t="shared" si="484"/>
        <v>4</v>
      </c>
      <c r="BI335" s="554" t="str">
        <f t="shared" si="485"/>
        <v>13:1:Back</v>
      </c>
      <c r="BJ335" s="554" t="str">
        <f t="shared" si="486"/>
        <v>Broken Wire (# Broken Subconductors)</v>
      </c>
      <c r="BK335" s="552">
        <f t="shared" si="487"/>
        <v>4</v>
      </c>
      <c r="BL335" s="554" t="str">
        <f t="shared" si="488"/>
        <v/>
      </c>
      <c r="BM335" s="554" t="str">
        <f t="shared" si="489"/>
        <v/>
      </c>
      <c r="BN335" s="552" t="str">
        <f t="shared" si="490"/>
        <v/>
      </c>
      <c r="BO335" s="554" t="str">
        <f t="shared" si="491"/>
        <v/>
      </c>
      <c r="BP335" s="554" t="str">
        <f t="shared" si="492"/>
        <v/>
      </c>
      <c r="BQ335" s="552" t="str">
        <f t="shared" si="493"/>
        <v/>
      </c>
      <c r="BR335" s="554"/>
      <c r="BS335" s="554"/>
      <c r="BT335" s="554"/>
      <c r="BU335" s="554"/>
      <c r="BV335" s="554"/>
      <c r="BW335" s="554"/>
      <c r="BX335" s="554"/>
      <c r="BY335" s="554"/>
      <c r="BZ335" s="554"/>
      <c r="CA335" s="554"/>
      <c r="CB335" s="554"/>
      <c r="CC335" s="554"/>
      <c r="CD335" s="554"/>
      <c r="CE335" s="554"/>
      <c r="CF335" s="554"/>
      <c r="CG335" s="554"/>
      <c r="CH335" s="554"/>
      <c r="CI335" s="554"/>
      <c r="CJ335" s="554"/>
      <c r="CK335" s="554"/>
      <c r="CL335" s="554"/>
      <c r="CM335" s="554"/>
      <c r="CN335" s="554"/>
      <c r="CO335" s="554"/>
      <c r="CP335" s="554"/>
      <c r="CQ335" s="554"/>
      <c r="CR335" s="554"/>
      <c r="CS335" s="554"/>
      <c r="CT335" s="554"/>
      <c r="CU335" s="554"/>
      <c r="CV335" s="554"/>
      <c r="CW335" s="554"/>
      <c r="CX335" s="554"/>
      <c r="CY335" s="554"/>
      <c r="CZ335" s="554"/>
      <c r="DA335" s="554"/>
      <c r="DB335" s="554"/>
      <c r="DC335" s="554"/>
      <c r="DD335" s="554"/>
      <c r="DE335" s="534"/>
      <c r="DF335" s="534"/>
      <c r="DG335" s="534"/>
    </row>
    <row r="336" spans="1:111" ht="15" x14ac:dyDescent="0.25">
      <c r="A336" s="549">
        <f>IFERROR(IF(INDEX('Weather Cases'!$E$10:$E$94,MATCH('Load Criteria'!X336,'Weather Cases'!$H$10:$H$94,0),1)=1,1,"-"),"-")</f>
        <v>1</v>
      </c>
      <c r="B336" s="555" t="s">
        <v>558</v>
      </c>
      <c r="C336" s="556" t="str">
        <f>IF('Weather Cases'!$E$44=0,"","DC")</f>
        <v>DC</v>
      </c>
      <c r="D336" s="555" t="s">
        <v>579</v>
      </c>
      <c r="E336" s="556">
        <v>2</v>
      </c>
      <c r="F336" s="555" t="s">
        <v>580</v>
      </c>
      <c r="G336" s="556" t="str">
        <f>IFERROR(IF(MID('Load Criteria'!X336,FIND("_",'Load Criteria'!X336,1)+1,1)=LEFT(Control!$D$23,1),"YES","-"),"-")</f>
        <v>-</v>
      </c>
      <c r="H336" s="549" t="s">
        <v>22</v>
      </c>
      <c r="I336" s="557" t="s">
        <v>331</v>
      </c>
      <c r="J336" s="550">
        <f>Control!$D$25</f>
        <v>1</v>
      </c>
      <c r="K336" s="508" t="s">
        <v>571</v>
      </c>
      <c r="L336" s="508" t="s">
        <v>40</v>
      </c>
      <c r="M336" s="550">
        <v>3</v>
      </c>
      <c r="N336" s="550">
        <v>7</v>
      </c>
      <c r="O336" s="550"/>
      <c r="P336" s="392"/>
      <c r="Q336" s="392"/>
      <c r="R336" s="392"/>
      <c r="S336" s="392"/>
      <c r="T336" s="392"/>
      <c r="U336" s="255" t="s">
        <v>568</v>
      </c>
      <c r="V336" s="551"/>
      <c r="W336" s="542" t="str">
        <f t="shared" si="494"/>
        <v>RS0001_8+TB37 NA+</v>
      </c>
      <c r="X336" s="552" t="str">
        <f>I336&amp;TEXT(J336,"0000")&amp;"_"&amp;LEFT(Control!$D$22,LEN(Control!$D$22)-2)</f>
        <v>RS0001_8</v>
      </c>
      <c r="Y336" s="552" t="s">
        <v>433</v>
      </c>
      <c r="Z336" s="552" t="str">
        <f t="shared" si="476"/>
        <v>NA+</v>
      </c>
      <c r="AA336" s="552"/>
      <c r="AB336" s="552">
        <v>1</v>
      </c>
      <c r="AC336" s="552">
        <v>1</v>
      </c>
      <c r="AD336" s="552">
        <v>1</v>
      </c>
      <c r="AE336" s="552">
        <v>1</v>
      </c>
      <c r="AF336" s="552">
        <v>1</v>
      </c>
      <c r="AG336" s="542" t="s">
        <v>561</v>
      </c>
      <c r="AH336" s="552">
        <v>0</v>
      </c>
      <c r="AI336" s="552">
        <v>0</v>
      </c>
      <c r="AJ336" s="552">
        <v>1</v>
      </c>
      <c r="AK336" s="552">
        <v>1</v>
      </c>
      <c r="AL336" s="552">
        <v>1</v>
      </c>
      <c r="AM336" s="552">
        <v>0</v>
      </c>
      <c r="AN336" s="552">
        <v>0</v>
      </c>
      <c r="AO336" s="552">
        <v>1</v>
      </c>
      <c r="AP336" s="552">
        <v>1</v>
      </c>
      <c r="AQ336" s="552">
        <v>1</v>
      </c>
      <c r="AR336" s="552">
        <v>1</v>
      </c>
      <c r="AS336" s="552">
        <v>1</v>
      </c>
      <c r="AT336" s="552">
        <v>1</v>
      </c>
      <c r="AU336" s="552">
        <v>1</v>
      </c>
      <c r="AV336" s="553" t="str">
        <f>IF(H336="YES",IF($AV$2="Y","'"&amp;INDEX('Structure Groups'!$C$12:$C$14,MATCH($B$5,'Structure Groups'!$B$12:$B$14,0),1)&amp;"'","'"&amp;INDEX('Structure Groups'!$C$16:$C$18,MATCH($B$5,'Structure Groups'!$B$16:$B$18,0),1)&amp;"'"),IF($AV$2="Y","'All'","'Stop'"))</f>
        <v>'Stop'</v>
      </c>
      <c r="AW336" s="552" t="s">
        <v>562</v>
      </c>
      <c r="AX336" s="552"/>
      <c r="AY336" s="552" t="str">
        <f t="shared" si="526"/>
        <v>Yes</v>
      </c>
      <c r="AZ336" s="554" t="str">
        <f t="shared" si="477"/>
        <v>3:1:Back</v>
      </c>
      <c r="BA336" s="554" t="str">
        <f t="shared" si="478"/>
        <v>Broken Wire (# Broken Subconductors)</v>
      </c>
      <c r="BB336" s="552">
        <f t="shared" si="479"/>
        <v>4</v>
      </c>
      <c r="BC336" s="554" t="str">
        <f t="shared" si="480"/>
        <v>13:1:Back</v>
      </c>
      <c r="BD336" s="554" t="str">
        <f t="shared" si="481"/>
        <v>Broken Wire (# Broken Subconductors)</v>
      </c>
      <c r="BE336" s="552">
        <f t="shared" si="482"/>
        <v>4</v>
      </c>
      <c r="BF336" s="554" t="str">
        <f t="shared" si="510"/>
        <v>7:1:Back</v>
      </c>
      <c r="BG336" s="554" t="str">
        <f t="shared" si="483"/>
        <v>Broken Wire (# Broken Subconductors)</v>
      </c>
      <c r="BH336" s="552">
        <f t="shared" si="484"/>
        <v>4</v>
      </c>
      <c r="BI336" s="554" t="str">
        <f t="shared" si="485"/>
        <v>17:1:Back</v>
      </c>
      <c r="BJ336" s="554" t="str">
        <f t="shared" si="486"/>
        <v>Broken Wire (# Broken Subconductors)</v>
      </c>
      <c r="BK336" s="552">
        <f t="shared" si="487"/>
        <v>4</v>
      </c>
      <c r="BL336" s="554" t="str">
        <f t="shared" si="488"/>
        <v/>
      </c>
      <c r="BM336" s="554" t="str">
        <f t="shared" si="489"/>
        <v/>
      </c>
      <c r="BN336" s="552" t="str">
        <f t="shared" si="490"/>
        <v/>
      </c>
      <c r="BO336" s="554" t="str">
        <f t="shared" si="491"/>
        <v/>
      </c>
      <c r="BP336" s="554" t="str">
        <f t="shared" si="492"/>
        <v/>
      </c>
      <c r="BQ336" s="552" t="str">
        <f t="shared" si="493"/>
        <v/>
      </c>
      <c r="BR336" s="554"/>
      <c r="BS336" s="554"/>
      <c r="BT336" s="554"/>
      <c r="BU336" s="554"/>
      <c r="BV336" s="554"/>
      <c r="BW336" s="554"/>
      <c r="BX336" s="554"/>
      <c r="BY336" s="554"/>
      <c r="BZ336" s="554"/>
      <c r="CA336" s="554"/>
      <c r="CB336" s="554"/>
      <c r="CC336" s="554"/>
      <c r="CD336" s="554"/>
      <c r="CE336" s="554"/>
      <c r="CF336" s="554"/>
      <c r="CG336" s="554"/>
      <c r="CH336" s="554"/>
      <c r="CI336" s="554"/>
      <c r="CJ336" s="554"/>
      <c r="CK336" s="554"/>
      <c r="CL336" s="554"/>
      <c r="CM336" s="554"/>
      <c r="CN336" s="554"/>
      <c r="CO336" s="554"/>
      <c r="CP336" s="554"/>
      <c r="CQ336" s="554"/>
      <c r="CR336" s="554"/>
      <c r="CS336" s="554"/>
      <c r="CT336" s="554"/>
      <c r="CU336" s="554"/>
      <c r="CV336" s="554"/>
      <c r="CW336" s="554"/>
      <c r="CX336" s="554"/>
      <c r="CY336" s="554"/>
      <c r="CZ336" s="554"/>
      <c r="DA336" s="554"/>
      <c r="DB336" s="554"/>
      <c r="DC336" s="554"/>
      <c r="DD336" s="554"/>
      <c r="DE336" s="534"/>
      <c r="DF336" s="534"/>
      <c r="DG336" s="534"/>
    </row>
    <row r="337" spans="1:111" ht="15" x14ac:dyDescent="0.25">
      <c r="A337" s="549">
        <f>IFERROR(IF(INDEX('Weather Cases'!$E$10:$E$94,MATCH('Load Criteria'!X337,'Weather Cases'!$H$10:$H$94,0),1)=1,1,"-"),"-")</f>
        <v>1</v>
      </c>
      <c r="B337" s="555" t="s">
        <v>558</v>
      </c>
      <c r="C337" s="556" t="str">
        <f>IF('Weather Cases'!$E$44=0,"","DC")</f>
        <v>DC</v>
      </c>
      <c r="D337" s="555" t="s">
        <v>579</v>
      </c>
      <c r="E337" s="556">
        <v>2</v>
      </c>
      <c r="F337" s="556" t="s">
        <v>22</v>
      </c>
      <c r="G337" s="556" t="str">
        <f>IFERROR(IF(MID('Load Criteria'!X337,FIND("_",'Load Criteria'!X337,1)+1,1)=LEFT(Control!$D$23,1),"YES","-"),"-")</f>
        <v>-</v>
      </c>
      <c r="H337" s="549" t="s">
        <v>22</v>
      </c>
      <c r="I337" s="557" t="s">
        <v>331</v>
      </c>
      <c r="J337" s="550">
        <f>Control!$D$25</f>
        <v>1</v>
      </c>
      <c r="K337" s="508" t="s">
        <v>571</v>
      </c>
      <c r="L337" s="508" t="s">
        <v>40</v>
      </c>
      <c r="M337" s="550">
        <v>4</v>
      </c>
      <c r="N337" s="550">
        <v>5</v>
      </c>
      <c r="O337" s="550"/>
      <c r="P337" s="392"/>
      <c r="Q337" s="392"/>
      <c r="R337" s="392"/>
      <c r="S337" s="392"/>
      <c r="T337" s="392"/>
      <c r="U337" s="255" t="s">
        <v>568</v>
      </c>
      <c r="V337" s="551"/>
      <c r="W337" s="542" t="str">
        <f t="shared" si="494"/>
        <v>RS0001_8+TB45 NA+</v>
      </c>
      <c r="X337" s="552" t="str">
        <f>I337&amp;TEXT(J337,"0000")&amp;"_"&amp;LEFT(Control!$D$22,LEN(Control!$D$22)-2)</f>
        <v>RS0001_8</v>
      </c>
      <c r="Y337" s="552" t="s">
        <v>433</v>
      </c>
      <c r="Z337" s="552" t="str">
        <f t="shared" si="476"/>
        <v>NA+</v>
      </c>
      <c r="AA337" s="552"/>
      <c r="AB337" s="552">
        <v>1</v>
      </c>
      <c r="AC337" s="552">
        <v>1</v>
      </c>
      <c r="AD337" s="552">
        <v>1</v>
      </c>
      <c r="AE337" s="552">
        <v>1</v>
      </c>
      <c r="AF337" s="552">
        <v>1</v>
      </c>
      <c r="AG337" s="542" t="s">
        <v>561</v>
      </c>
      <c r="AH337" s="552">
        <v>0</v>
      </c>
      <c r="AI337" s="552">
        <v>0</v>
      </c>
      <c r="AJ337" s="552">
        <v>1</v>
      </c>
      <c r="AK337" s="552">
        <v>1</v>
      </c>
      <c r="AL337" s="552">
        <v>1</v>
      </c>
      <c r="AM337" s="552">
        <v>0</v>
      </c>
      <c r="AN337" s="552">
        <v>0</v>
      </c>
      <c r="AO337" s="552">
        <v>1</v>
      </c>
      <c r="AP337" s="552">
        <v>1</v>
      </c>
      <c r="AQ337" s="552">
        <v>1</v>
      </c>
      <c r="AR337" s="552">
        <v>1</v>
      </c>
      <c r="AS337" s="552">
        <v>1</v>
      </c>
      <c r="AT337" s="552">
        <v>1</v>
      </c>
      <c r="AU337" s="552">
        <v>1</v>
      </c>
      <c r="AV337" s="553" t="str">
        <f>IF(H337="YES",IF($AV$2="Y","'"&amp;INDEX('Structure Groups'!$C$12:$C$14,MATCH($B$5,'Structure Groups'!$B$12:$B$14,0),1)&amp;"'","'"&amp;INDEX('Structure Groups'!$C$16:$C$18,MATCH($B$5,'Structure Groups'!$B$16:$B$18,0),1)&amp;"'"),IF($AV$2="Y","'All'","'Stop'"))</f>
        <v>'Stop'</v>
      </c>
      <c r="AW337" s="552" t="s">
        <v>562</v>
      </c>
      <c r="AX337" s="552"/>
      <c r="AY337" s="552" t="str">
        <f t="shared" si="526"/>
        <v>Yes</v>
      </c>
      <c r="AZ337" s="554" t="str">
        <f t="shared" si="477"/>
        <v>4:1:Back</v>
      </c>
      <c r="BA337" s="554" t="str">
        <f t="shared" si="478"/>
        <v>Broken Wire (# Broken Subconductors)</v>
      </c>
      <c r="BB337" s="552">
        <f t="shared" si="479"/>
        <v>4</v>
      </c>
      <c r="BC337" s="554" t="str">
        <f t="shared" si="480"/>
        <v>14:1:Back</v>
      </c>
      <c r="BD337" s="554" t="str">
        <f t="shared" si="481"/>
        <v>Broken Wire (# Broken Subconductors)</v>
      </c>
      <c r="BE337" s="552">
        <f t="shared" si="482"/>
        <v>4</v>
      </c>
      <c r="BF337" s="554" t="str">
        <f t="shared" si="510"/>
        <v>5:1:Back</v>
      </c>
      <c r="BG337" s="554" t="str">
        <f t="shared" si="483"/>
        <v>Broken Wire (# Broken Subconductors)</v>
      </c>
      <c r="BH337" s="552">
        <f t="shared" si="484"/>
        <v>4</v>
      </c>
      <c r="BI337" s="554" t="str">
        <f t="shared" si="485"/>
        <v>15:1:Back</v>
      </c>
      <c r="BJ337" s="554" t="str">
        <f t="shared" si="486"/>
        <v>Broken Wire (# Broken Subconductors)</v>
      </c>
      <c r="BK337" s="552">
        <f t="shared" si="487"/>
        <v>4</v>
      </c>
      <c r="BL337" s="554" t="str">
        <f t="shared" si="488"/>
        <v/>
      </c>
      <c r="BM337" s="554" t="str">
        <f t="shared" si="489"/>
        <v/>
      </c>
      <c r="BN337" s="552" t="str">
        <f t="shared" si="490"/>
        <v/>
      </c>
      <c r="BO337" s="554" t="str">
        <f t="shared" si="491"/>
        <v/>
      </c>
      <c r="BP337" s="554" t="str">
        <f t="shared" si="492"/>
        <v/>
      </c>
      <c r="BQ337" s="552" t="str">
        <f t="shared" si="493"/>
        <v/>
      </c>
      <c r="BR337" s="554"/>
      <c r="BS337" s="554"/>
      <c r="BT337" s="554"/>
      <c r="BU337" s="554"/>
      <c r="BV337" s="554"/>
      <c r="BW337" s="554"/>
      <c r="BX337" s="554"/>
      <c r="BY337" s="554"/>
      <c r="BZ337" s="554"/>
      <c r="CA337" s="554"/>
      <c r="CB337" s="554"/>
      <c r="CC337" s="554"/>
      <c r="CD337" s="554"/>
      <c r="CE337" s="554"/>
      <c r="CF337" s="554"/>
      <c r="CG337" s="554"/>
      <c r="CH337" s="554"/>
      <c r="CI337" s="554"/>
      <c r="CJ337" s="554"/>
      <c r="CK337" s="554"/>
      <c r="CL337" s="554"/>
      <c r="CM337" s="554"/>
      <c r="CN337" s="554"/>
      <c r="CO337" s="554"/>
      <c r="CP337" s="554"/>
      <c r="CQ337" s="554"/>
      <c r="CR337" s="554"/>
      <c r="CS337" s="554"/>
      <c r="CT337" s="554"/>
      <c r="CU337" s="554"/>
      <c r="CV337" s="554"/>
      <c r="CW337" s="554"/>
      <c r="CX337" s="554"/>
      <c r="CY337" s="554"/>
      <c r="CZ337" s="554"/>
      <c r="DA337" s="554"/>
      <c r="DB337" s="554"/>
      <c r="DC337" s="554"/>
      <c r="DD337" s="554"/>
      <c r="DE337" s="534"/>
      <c r="DF337" s="534"/>
      <c r="DG337" s="534"/>
    </row>
    <row r="338" spans="1:111" ht="15" x14ac:dyDescent="0.25">
      <c r="A338" s="549">
        <f>IFERROR(IF(INDEX('Weather Cases'!$E$10:$E$94,MATCH('Load Criteria'!X338,'Weather Cases'!$H$10:$H$94,0),1)=1,1,"-"),"-")</f>
        <v>1</v>
      </c>
      <c r="B338" s="555" t="s">
        <v>558</v>
      </c>
      <c r="C338" s="556" t="str">
        <f>IF('Weather Cases'!$E$44=0,"","DC")</f>
        <v>DC</v>
      </c>
      <c r="D338" s="555" t="s">
        <v>579</v>
      </c>
      <c r="E338" s="556">
        <v>2</v>
      </c>
      <c r="F338" s="556" t="s">
        <v>22</v>
      </c>
      <c r="G338" s="556" t="str">
        <f>IFERROR(IF(MID('Load Criteria'!X338,FIND("_",'Load Criteria'!X338,1)+1,1)=LEFT(Control!$D$23,1),"YES","-"),"-")</f>
        <v>-</v>
      </c>
      <c r="H338" s="549" t="s">
        <v>22</v>
      </c>
      <c r="I338" s="557" t="s">
        <v>331</v>
      </c>
      <c r="J338" s="550">
        <f>Control!$D$25</f>
        <v>1</v>
      </c>
      <c r="K338" s="508" t="s">
        <v>571</v>
      </c>
      <c r="L338" s="508" t="s">
        <v>40</v>
      </c>
      <c r="M338" s="550">
        <v>4</v>
      </c>
      <c r="N338" s="550">
        <v>6</v>
      </c>
      <c r="O338" s="550"/>
      <c r="P338" s="392"/>
      <c r="Q338" s="392"/>
      <c r="R338" s="392"/>
      <c r="S338" s="392"/>
      <c r="T338" s="392"/>
      <c r="U338" s="255" t="s">
        <v>568</v>
      </c>
      <c r="V338" s="551"/>
      <c r="W338" s="542" t="str">
        <f t="shared" si="494"/>
        <v>RS0001_8+TB46 NA+</v>
      </c>
      <c r="X338" s="552" t="str">
        <f>I338&amp;TEXT(J338,"0000")&amp;"_"&amp;LEFT(Control!$D$22,LEN(Control!$D$22)-2)</f>
        <v>RS0001_8</v>
      </c>
      <c r="Y338" s="552" t="s">
        <v>433</v>
      </c>
      <c r="Z338" s="552" t="str">
        <f t="shared" si="476"/>
        <v>NA+</v>
      </c>
      <c r="AA338" s="552"/>
      <c r="AB338" s="552">
        <v>1</v>
      </c>
      <c r="AC338" s="552">
        <v>1</v>
      </c>
      <c r="AD338" s="552">
        <v>1</v>
      </c>
      <c r="AE338" s="552">
        <v>1</v>
      </c>
      <c r="AF338" s="552">
        <v>1</v>
      </c>
      <c r="AG338" s="542" t="s">
        <v>561</v>
      </c>
      <c r="AH338" s="552">
        <v>0</v>
      </c>
      <c r="AI338" s="552">
        <v>0</v>
      </c>
      <c r="AJ338" s="552">
        <v>1</v>
      </c>
      <c r="AK338" s="552">
        <v>1</v>
      </c>
      <c r="AL338" s="552">
        <v>1</v>
      </c>
      <c r="AM338" s="552">
        <v>0</v>
      </c>
      <c r="AN338" s="552">
        <v>0</v>
      </c>
      <c r="AO338" s="552">
        <v>1</v>
      </c>
      <c r="AP338" s="552">
        <v>1</v>
      </c>
      <c r="AQ338" s="552">
        <v>1</v>
      </c>
      <c r="AR338" s="552">
        <v>1</v>
      </c>
      <c r="AS338" s="552">
        <v>1</v>
      </c>
      <c r="AT338" s="552">
        <v>1</v>
      </c>
      <c r="AU338" s="552">
        <v>1</v>
      </c>
      <c r="AV338" s="553" t="str">
        <f>IF(H338="YES",IF($AV$2="Y","'"&amp;INDEX('Structure Groups'!$C$12:$C$14,MATCH($B$5,'Structure Groups'!$B$12:$B$14,0),1)&amp;"'","'"&amp;INDEX('Structure Groups'!$C$16:$C$18,MATCH($B$5,'Structure Groups'!$B$16:$B$18,0),1)&amp;"'"),IF($AV$2="Y","'All'","'Stop'"))</f>
        <v>'Stop'</v>
      </c>
      <c r="AW338" s="552" t="s">
        <v>562</v>
      </c>
      <c r="AX338" s="552"/>
      <c r="AY338" s="552" t="str">
        <f t="shared" si="526"/>
        <v>Yes</v>
      </c>
      <c r="AZ338" s="554" t="str">
        <f t="shared" si="477"/>
        <v>4:1:Back</v>
      </c>
      <c r="BA338" s="554" t="str">
        <f t="shared" si="478"/>
        <v>Broken Wire (# Broken Subconductors)</v>
      </c>
      <c r="BB338" s="552">
        <f t="shared" si="479"/>
        <v>4</v>
      </c>
      <c r="BC338" s="554" t="str">
        <f t="shared" si="480"/>
        <v>14:1:Back</v>
      </c>
      <c r="BD338" s="554" t="str">
        <f t="shared" si="481"/>
        <v>Broken Wire (# Broken Subconductors)</v>
      </c>
      <c r="BE338" s="552">
        <f t="shared" si="482"/>
        <v>4</v>
      </c>
      <c r="BF338" s="554" t="str">
        <f t="shared" si="510"/>
        <v>6:1:Back</v>
      </c>
      <c r="BG338" s="554" t="str">
        <f t="shared" si="483"/>
        <v>Broken Wire (# Broken Subconductors)</v>
      </c>
      <c r="BH338" s="552">
        <f t="shared" si="484"/>
        <v>4</v>
      </c>
      <c r="BI338" s="554" t="str">
        <f t="shared" si="485"/>
        <v>16:1:Back</v>
      </c>
      <c r="BJ338" s="554" t="str">
        <f t="shared" si="486"/>
        <v>Broken Wire (# Broken Subconductors)</v>
      </c>
      <c r="BK338" s="552">
        <f t="shared" si="487"/>
        <v>4</v>
      </c>
      <c r="BL338" s="554" t="str">
        <f t="shared" si="488"/>
        <v/>
      </c>
      <c r="BM338" s="554" t="str">
        <f t="shared" si="489"/>
        <v/>
      </c>
      <c r="BN338" s="552" t="str">
        <f t="shared" si="490"/>
        <v/>
      </c>
      <c r="BO338" s="554" t="str">
        <f t="shared" si="491"/>
        <v/>
      </c>
      <c r="BP338" s="554" t="str">
        <f t="shared" si="492"/>
        <v/>
      </c>
      <c r="BQ338" s="552" t="str">
        <f t="shared" si="493"/>
        <v/>
      </c>
      <c r="BR338" s="554"/>
      <c r="BS338" s="554"/>
      <c r="BT338" s="554"/>
      <c r="BU338" s="554"/>
      <c r="BV338" s="554"/>
      <c r="BW338" s="554"/>
      <c r="BX338" s="554"/>
      <c r="BY338" s="554"/>
      <c r="BZ338" s="554"/>
      <c r="CA338" s="554"/>
      <c r="CB338" s="554"/>
      <c r="CC338" s="554"/>
      <c r="CD338" s="554"/>
      <c r="CE338" s="554"/>
      <c r="CF338" s="554"/>
      <c r="CG338" s="554"/>
      <c r="CH338" s="554"/>
      <c r="CI338" s="554"/>
      <c r="CJ338" s="554"/>
      <c r="CK338" s="554"/>
      <c r="CL338" s="554"/>
      <c r="CM338" s="554"/>
      <c r="CN338" s="554"/>
      <c r="CO338" s="554"/>
      <c r="CP338" s="554"/>
      <c r="CQ338" s="554"/>
      <c r="CR338" s="554"/>
      <c r="CS338" s="554"/>
      <c r="CT338" s="554"/>
      <c r="CU338" s="554"/>
      <c r="CV338" s="554"/>
      <c r="CW338" s="554"/>
      <c r="CX338" s="554"/>
      <c r="CY338" s="554"/>
      <c r="CZ338" s="554"/>
      <c r="DA338" s="554"/>
      <c r="DB338" s="554"/>
      <c r="DC338" s="554"/>
      <c r="DD338" s="554"/>
      <c r="DE338" s="534"/>
      <c r="DF338" s="534"/>
      <c r="DG338" s="534"/>
    </row>
    <row r="339" spans="1:111" ht="15" x14ac:dyDescent="0.25">
      <c r="A339" s="549">
        <f>IFERROR(IF(INDEX('Weather Cases'!$E$10:$E$94,MATCH('Load Criteria'!X339,'Weather Cases'!$H$10:$H$94,0),1)=1,1,"-"),"-")</f>
        <v>1</v>
      </c>
      <c r="B339" s="555" t="s">
        <v>558</v>
      </c>
      <c r="C339" s="556" t="str">
        <f>IF('Weather Cases'!$E$44=0,"","DC")</f>
        <v>DC</v>
      </c>
      <c r="D339" s="555" t="s">
        <v>579</v>
      </c>
      <c r="E339" s="556">
        <v>2</v>
      </c>
      <c r="F339" s="556" t="s">
        <v>22</v>
      </c>
      <c r="G339" s="556" t="str">
        <f>IFERROR(IF(MID('Load Criteria'!X339,FIND("_",'Load Criteria'!X339,1)+1,1)=LEFT(Control!$D$23,1),"YES","-"),"-")</f>
        <v>-</v>
      </c>
      <c r="H339" s="549" t="s">
        <v>22</v>
      </c>
      <c r="I339" s="557" t="s">
        <v>331</v>
      </c>
      <c r="J339" s="550">
        <f>Control!$D$25</f>
        <v>1</v>
      </c>
      <c r="K339" s="508" t="s">
        <v>571</v>
      </c>
      <c r="L339" s="508" t="s">
        <v>40</v>
      </c>
      <c r="M339" s="550">
        <v>5</v>
      </c>
      <c r="N339" s="550">
        <v>6</v>
      </c>
      <c r="O339" s="550"/>
      <c r="P339" s="392"/>
      <c r="Q339" s="392"/>
      <c r="R339" s="392"/>
      <c r="S339" s="392"/>
      <c r="T339" s="392"/>
      <c r="U339" s="255" t="s">
        <v>568</v>
      </c>
      <c r="V339" s="551"/>
      <c r="W339" s="542" t="str">
        <f t="shared" si="494"/>
        <v>RS0001_8+TB56 NA+</v>
      </c>
      <c r="X339" s="552" t="str">
        <f>I339&amp;TEXT(J339,"0000")&amp;"_"&amp;LEFT(Control!$D$22,LEN(Control!$D$22)-2)</f>
        <v>RS0001_8</v>
      </c>
      <c r="Y339" s="552" t="s">
        <v>433</v>
      </c>
      <c r="Z339" s="552" t="str">
        <f t="shared" si="476"/>
        <v>NA+</v>
      </c>
      <c r="AA339" s="552"/>
      <c r="AB339" s="552">
        <v>1</v>
      </c>
      <c r="AC339" s="552">
        <v>1</v>
      </c>
      <c r="AD339" s="552">
        <v>1</v>
      </c>
      <c r="AE339" s="552">
        <v>1</v>
      </c>
      <c r="AF339" s="552">
        <v>1</v>
      </c>
      <c r="AG339" s="542" t="s">
        <v>561</v>
      </c>
      <c r="AH339" s="552">
        <v>0</v>
      </c>
      <c r="AI339" s="552">
        <v>0</v>
      </c>
      <c r="AJ339" s="552">
        <v>1</v>
      </c>
      <c r="AK339" s="552">
        <v>1</v>
      </c>
      <c r="AL339" s="552">
        <v>1</v>
      </c>
      <c r="AM339" s="552">
        <v>0</v>
      </c>
      <c r="AN339" s="552">
        <v>0</v>
      </c>
      <c r="AO339" s="552">
        <v>1</v>
      </c>
      <c r="AP339" s="552">
        <v>1</v>
      </c>
      <c r="AQ339" s="552">
        <v>1</v>
      </c>
      <c r="AR339" s="552">
        <v>1</v>
      </c>
      <c r="AS339" s="552">
        <v>1</v>
      </c>
      <c r="AT339" s="552">
        <v>1</v>
      </c>
      <c r="AU339" s="552">
        <v>1</v>
      </c>
      <c r="AV339" s="553" t="str">
        <f>IF(H339="YES",IF($AV$2="Y","'"&amp;INDEX('Structure Groups'!$C$12:$C$14,MATCH($B$5,'Structure Groups'!$B$12:$B$14,0),1)&amp;"'","'"&amp;INDEX('Structure Groups'!$C$16:$C$18,MATCH($B$5,'Structure Groups'!$B$16:$B$18,0),1)&amp;"'"),IF($AV$2="Y","'All'","'Stop'"))</f>
        <v>'Stop'</v>
      </c>
      <c r="AW339" s="552" t="s">
        <v>562</v>
      </c>
      <c r="AX339" s="552"/>
      <c r="AY339" s="552" t="str">
        <f t="shared" si="526"/>
        <v>Yes</v>
      </c>
      <c r="AZ339" s="554" t="str">
        <f t="shared" si="477"/>
        <v>5:1:Back</v>
      </c>
      <c r="BA339" s="554" t="str">
        <f t="shared" si="478"/>
        <v>Broken Wire (# Broken Subconductors)</v>
      </c>
      <c r="BB339" s="552">
        <f t="shared" si="479"/>
        <v>4</v>
      </c>
      <c r="BC339" s="554" t="str">
        <f t="shared" si="480"/>
        <v>15:1:Back</v>
      </c>
      <c r="BD339" s="554" t="str">
        <f t="shared" si="481"/>
        <v>Broken Wire (# Broken Subconductors)</v>
      </c>
      <c r="BE339" s="552">
        <f t="shared" si="482"/>
        <v>4</v>
      </c>
      <c r="BF339" s="554" t="str">
        <f t="shared" si="510"/>
        <v>6:1:Back</v>
      </c>
      <c r="BG339" s="554" t="str">
        <f t="shared" si="483"/>
        <v>Broken Wire (# Broken Subconductors)</v>
      </c>
      <c r="BH339" s="552">
        <f t="shared" si="484"/>
        <v>4</v>
      </c>
      <c r="BI339" s="554" t="str">
        <f t="shared" si="485"/>
        <v>16:1:Back</v>
      </c>
      <c r="BJ339" s="554" t="str">
        <f t="shared" si="486"/>
        <v>Broken Wire (# Broken Subconductors)</v>
      </c>
      <c r="BK339" s="552">
        <f t="shared" si="487"/>
        <v>4</v>
      </c>
      <c r="BL339" s="554" t="str">
        <f t="shared" si="488"/>
        <v/>
      </c>
      <c r="BM339" s="554" t="str">
        <f t="shared" si="489"/>
        <v/>
      </c>
      <c r="BN339" s="552" t="str">
        <f t="shared" si="490"/>
        <v/>
      </c>
      <c r="BO339" s="554" t="str">
        <f t="shared" si="491"/>
        <v/>
      </c>
      <c r="BP339" s="554" t="str">
        <f t="shared" si="492"/>
        <v/>
      </c>
      <c r="BQ339" s="552" t="str">
        <f t="shared" si="493"/>
        <v/>
      </c>
      <c r="BR339" s="554"/>
      <c r="BS339" s="554"/>
      <c r="BT339" s="554"/>
      <c r="BU339" s="554"/>
      <c r="BV339" s="554"/>
      <c r="BW339" s="554"/>
      <c r="BX339" s="554"/>
      <c r="BY339" s="554"/>
      <c r="BZ339" s="554"/>
      <c r="CA339" s="554"/>
      <c r="CB339" s="554"/>
      <c r="CC339" s="554"/>
      <c r="CD339" s="554"/>
      <c r="CE339" s="554"/>
      <c r="CF339" s="554"/>
      <c r="CG339" s="554"/>
      <c r="CH339" s="554"/>
      <c r="CI339" s="554"/>
      <c r="CJ339" s="554"/>
      <c r="CK339" s="554"/>
      <c r="CL339" s="554"/>
      <c r="CM339" s="554"/>
      <c r="CN339" s="554"/>
      <c r="CO339" s="554"/>
      <c r="CP339" s="554"/>
      <c r="CQ339" s="554"/>
      <c r="CR339" s="554"/>
      <c r="CS339" s="554"/>
      <c r="CT339" s="554"/>
      <c r="CU339" s="554"/>
      <c r="CV339" s="554"/>
      <c r="CW339" s="554"/>
      <c r="CX339" s="554"/>
      <c r="CY339" s="554"/>
      <c r="CZ339" s="554"/>
      <c r="DA339" s="554"/>
      <c r="DB339" s="554"/>
      <c r="DC339" s="554"/>
      <c r="DD339" s="554"/>
      <c r="DE339" s="534"/>
      <c r="DF339" s="534"/>
      <c r="DG339" s="534"/>
    </row>
    <row r="340" spans="1:111" ht="15" x14ac:dyDescent="0.25">
      <c r="A340" s="549">
        <f>IFERROR(IF(INDEX('Weather Cases'!$E$10:$E$94,MATCH('Load Criteria'!X340,'Weather Cases'!$H$10:$H$94,0),1)=1,1,"-"),"-")</f>
        <v>1</v>
      </c>
      <c r="B340" s="555" t="s">
        <v>558</v>
      </c>
      <c r="C340" s="556" t="str">
        <f>IF('Weather Cases'!$E$44=0,"","DC")</f>
        <v>DC</v>
      </c>
      <c r="D340" s="555" t="s">
        <v>579</v>
      </c>
      <c r="E340" s="556">
        <v>2</v>
      </c>
      <c r="F340" s="555" t="s">
        <v>581</v>
      </c>
      <c r="G340" s="556" t="str">
        <f>IFERROR(IF(MID('Load Criteria'!X340,FIND("_",'Load Criteria'!X340,1)+1,1)=LEFT(Control!$D$23,1),"YES","-"),"-")</f>
        <v>-</v>
      </c>
      <c r="H340" s="549" t="s">
        <v>22</v>
      </c>
      <c r="I340" s="557" t="s">
        <v>331</v>
      </c>
      <c r="J340" s="550">
        <f>Control!$D$25</f>
        <v>1</v>
      </c>
      <c r="K340" s="508" t="s">
        <v>571</v>
      </c>
      <c r="L340" s="508" t="s">
        <v>40</v>
      </c>
      <c r="M340" s="550">
        <v>6</v>
      </c>
      <c r="N340" s="550">
        <v>8</v>
      </c>
      <c r="O340" s="550"/>
      <c r="P340" s="392"/>
      <c r="Q340" s="392"/>
      <c r="R340" s="392"/>
      <c r="S340" s="392"/>
      <c r="T340" s="392"/>
      <c r="U340" s="255" t="s">
        <v>568</v>
      </c>
      <c r="V340" s="551"/>
      <c r="W340" s="542" t="str">
        <f t="shared" si="494"/>
        <v>RS0001_8+TB68 NA+</v>
      </c>
      <c r="X340" s="552" t="str">
        <f>I340&amp;TEXT(J340,"0000")&amp;"_"&amp;LEFT(Control!$D$22,LEN(Control!$D$22)-2)</f>
        <v>RS0001_8</v>
      </c>
      <c r="Y340" s="552" t="s">
        <v>433</v>
      </c>
      <c r="Z340" s="552" t="str">
        <f t="shared" si="476"/>
        <v>NA+</v>
      </c>
      <c r="AA340" s="552"/>
      <c r="AB340" s="552">
        <v>1</v>
      </c>
      <c r="AC340" s="552">
        <v>1</v>
      </c>
      <c r="AD340" s="552">
        <v>1</v>
      </c>
      <c r="AE340" s="552">
        <v>1</v>
      </c>
      <c r="AF340" s="552">
        <v>1</v>
      </c>
      <c r="AG340" s="542" t="s">
        <v>561</v>
      </c>
      <c r="AH340" s="552">
        <v>0</v>
      </c>
      <c r="AI340" s="552">
        <v>0</v>
      </c>
      <c r="AJ340" s="552">
        <v>1</v>
      </c>
      <c r="AK340" s="552">
        <v>1</v>
      </c>
      <c r="AL340" s="552">
        <v>1</v>
      </c>
      <c r="AM340" s="552">
        <v>0</v>
      </c>
      <c r="AN340" s="552">
        <v>0</v>
      </c>
      <c r="AO340" s="552">
        <v>1</v>
      </c>
      <c r="AP340" s="552">
        <v>1</v>
      </c>
      <c r="AQ340" s="552">
        <v>1</v>
      </c>
      <c r="AR340" s="552">
        <v>1</v>
      </c>
      <c r="AS340" s="552">
        <v>1</v>
      </c>
      <c r="AT340" s="552">
        <v>1</v>
      </c>
      <c r="AU340" s="552">
        <v>1</v>
      </c>
      <c r="AV340" s="553" t="str">
        <f>IF(H340="YES",IF($AV$2="Y","'"&amp;INDEX('Structure Groups'!$C$12:$C$14,MATCH($B$5,'Structure Groups'!$B$12:$B$14,0),1)&amp;"'","'"&amp;INDEX('Structure Groups'!$C$16:$C$18,MATCH($B$5,'Structure Groups'!$B$16:$B$18,0),1)&amp;"'"),IF($AV$2="Y","'All'","'Stop'"))</f>
        <v>'Stop'</v>
      </c>
      <c r="AW340" s="552" t="s">
        <v>562</v>
      </c>
      <c r="AX340" s="552"/>
      <c r="AY340" s="552" t="str">
        <f t="shared" si="526"/>
        <v>Yes</v>
      </c>
      <c r="AZ340" s="554" t="str">
        <f t="shared" si="477"/>
        <v>6:1:Back</v>
      </c>
      <c r="BA340" s="554" t="str">
        <f t="shared" si="478"/>
        <v>Broken Wire (# Broken Subconductors)</v>
      </c>
      <c r="BB340" s="552">
        <f t="shared" si="479"/>
        <v>4</v>
      </c>
      <c r="BC340" s="554" t="str">
        <f t="shared" si="480"/>
        <v>16:1:Back</v>
      </c>
      <c r="BD340" s="554" t="str">
        <f t="shared" si="481"/>
        <v>Broken Wire (# Broken Subconductors)</v>
      </c>
      <c r="BE340" s="552">
        <f t="shared" si="482"/>
        <v>4</v>
      </c>
      <c r="BF340" s="554" t="str">
        <f t="shared" si="510"/>
        <v>8:1:Back</v>
      </c>
      <c r="BG340" s="554" t="str">
        <f t="shared" si="483"/>
        <v>Broken Wire (# Broken Subconductors)</v>
      </c>
      <c r="BH340" s="552">
        <f t="shared" si="484"/>
        <v>4</v>
      </c>
      <c r="BI340" s="554" t="str">
        <f t="shared" si="485"/>
        <v>18:1:Back</v>
      </c>
      <c r="BJ340" s="554" t="str">
        <f t="shared" si="486"/>
        <v>Broken Wire (# Broken Subconductors)</v>
      </c>
      <c r="BK340" s="552">
        <f t="shared" si="487"/>
        <v>4</v>
      </c>
      <c r="BL340" s="554" t="str">
        <f t="shared" si="488"/>
        <v/>
      </c>
      <c r="BM340" s="554" t="str">
        <f t="shared" si="489"/>
        <v/>
      </c>
      <c r="BN340" s="552" t="str">
        <f t="shared" si="490"/>
        <v/>
      </c>
      <c r="BO340" s="554" t="str">
        <f t="shared" si="491"/>
        <v/>
      </c>
      <c r="BP340" s="554" t="str">
        <f t="shared" si="492"/>
        <v/>
      </c>
      <c r="BQ340" s="552" t="str">
        <f t="shared" si="493"/>
        <v/>
      </c>
      <c r="BR340" s="554"/>
      <c r="BS340" s="554"/>
      <c r="BT340" s="554"/>
      <c r="BU340" s="554"/>
      <c r="BV340" s="554"/>
      <c r="BW340" s="554"/>
      <c r="BX340" s="554"/>
      <c r="BY340" s="554"/>
      <c r="BZ340" s="554"/>
      <c r="CA340" s="554"/>
      <c r="CB340" s="554"/>
      <c r="CC340" s="554"/>
      <c r="CD340" s="554"/>
      <c r="CE340" s="554"/>
      <c r="CF340" s="554"/>
      <c r="CG340" s="554"/>
      <c r="CH340" s="554"/>
      <c r="CI340" s="554"/>
      <c r="CJ340" s="554"/>
      <c r="CK340" s="554"/>
      <c r="CL340" s="554"/>
      <c r="CM340" s="554"/>
      <c r="CN340" s="554"/>
      <c r="CO340" s="554"/>
      <c r="CP340" s="554"/>
      <c r="CQ340" s="554"/>
      <c r="CR340" s="554"/>
      <c r="CS340" s="554"/>
      <c r="CT340" s="554"/>
      <c r="CU340" s="554"/>
      <c r="CV340" s="554"/>
      <c r="CW340" s="554"/>
      <c r="CX340" s="554"/>
      <c r="CY340" s="554"/>
      <c r="CZ340" s="554"/>
      <c r="DA340" s="554"/>
      <c r="DB340" s="554"/>
      <c r="DC340" s="554"/>
      <c r="DD340" s="554"/>
      <c r="DE340" s="534"/>
      <c r="DF340" s="534"/>
      <c r="DG340" s="534"/>
    </row>
    <row r="341" spans="1:111" ht="15" x14ac:dyDescent="0.25">
      <c r="A341" s="549">
        <f>IFERROR(IF(INDEX('Weather Cases'!$E$10:$E$94,MATCH('Load Criteria'!X341,'Weather Cases'!$H$10:$H$94,0),1)=1,1,"-"),"-")</f>
        <v>1</v>
      </c>
      <c r="B341" s="555" t="s">
        <v>558</v>
      </c>
      <c r="C341" s="556" t="str">
        <f>IF('Weather Cases'!$E$44=0,"","DC")</f>
        <v>DC</v>
      </c>
      <c r="D341" s="555" t="s">
        <v>579</v>
      </c>
      <c r="E341" s="556">
        <v>2</v>
      </c>
      <c r="F341" s="556" t="s">
        <v>22</v>
      </c>
      <c r="G341" s="556" t="str">
        <f>IFERROR(IF(MID('Load Criteria'!X341,FIND("_",'Load Criteria'!X341,1)+1,1)=LEFT(Control!$D$23,1),"YES","-"),"-")</f>
        <v>-</v>
      </c>
      <c r="H341" s="549" t="s">
        <v>22</v>
      </c>
      <c r="I341" s="557" t="s">
        <v>331</v>
      </c>
      <c r="J341" s="550">
        <f>Control!$D$25</f>
        <v>1</v>
      </c>
      <c r="K341" s="508" t="s">
        <v>571</v>
      </c>
      <c r="L341" s="508" t="s">
        <v>24</v>
      </c>
      <c r="M341" s="550">
        <v>1</v>
      </c>
      <c r="N341" s="550">
        <v>2</v>
      </c>
      <c r="O341" s="550"/>
      <c r="P341" s="392"/>
      <c r="Q341" s="392"/>
      <c r="R341" s="392"/>
      <c r="S341" s="392"/>
      <c r="T341" s="392"/>
      <c r="U341" s="255" t="s">
        <v>574</v>
      </c>
      <c r="V341" s="551"/>
      <c r="W341" s="542" t="str">
        <f t="shared" si="494"/>
        <v>RS0001_8+TA12 NA-</v>
      </c>
      <c r="X341" s="552" t="str">
        <f>I341&amp;TEXT(J341,"0000")&amp;"_"&amp;LEFT(Control!$D$22,LEN(Control!$D$22)-2)</f>
        <v>RS0001_8</v>
      </c>
      <c r="Y341" s="552" t="s">
        <v>433</v>
      </c>
      <c r="Z341" s="552" t="str">
        <f t="shared" si="476"/>
        <v>NA-</v>
      </c>
      <c r="AA341" s="552"/>
      <c r="AB341" s="552">
        <v>1</v>
      </c>
      <c r="AC341" s="552">
        <v>1</v>
      </c>
      <c r="AD341" s="552">
        <v>1</v>
      </c>
      <c r="AE341" s="552">
        <v>1</v>
      </c>
      <c r="AF341" s="552">
        <v>1</v>
      </c>
      <c r="AG341" s="542" t="s">
        <v>561</v>
      </c>
      <c r="AH341" s="552">
        <v>0</v>
      </c>
      <c r="AI341" s="552">
        <v>0</v>
      </c>
      <c r="AJ341" s="552">
        <v>1</v>
      </c>
      <c r="AK341" s="552">
        <v>1</v>
      </c>
      <c r="AL341" s="552">
        <v>1</v>
      </c>
      <c r="AM341" s="552">
        <v>0</v>
      </c>
      <c r="AN341" s="552">
        <v>0</v>
      </c>
      <c r="AO341" s="552">
        <v>1</v>
      </c>
      <c r="AP341" s="552">
        <v>1</v>
      </c>
      <c r="AQ341" s="552">
        <v>1</v>
      </c>
      <c r="AR341" s="552">
        <v>1</v>
      </c>
      <c r="AS341" s="552">
        <v>1</v>
      </c>
      <c r="AT341" s="552">
        <v>1</v>
      </c>
      <c r="AU341" s="552">
        <v>1</v>
      </c>
      <c r="AV341" s="553" t="str">
        <f>IF(H341="YES",IF($AV$2="Y","'"&amp;INDEX('Structure Groups'!$C$12:$C$14,MATCH($B$5,'Structure Groups'!$B$12:$B$14,0),1)&amp;"'","'"&amp;INDEX('Structure Groups'!$C$16:$C$18,MATCH($B$5,'Structure Groups'!$B$16:$B$18,0),1)&amp;"'"),IF($AV$2="Y","'All'","'Stop'"))</f>
        <v>'Stop'</v>
      </c>
      <c r="AW341" s="552" t="s">
        <v>562</v>
      </c>
      <c r="AX341" s="552"/>
      <c r="AY341" s="552" t="str">
        <f t="shared" si="526"/>
        <v>Yes</v>
      </c>
      <c r="AZ341" s="554" t="str">
        <f t="shared" si="477"/>
        <v>1:1:Ahead</v>
      </c>
      <c r="BA341" s="554" t="str">
        <f t="shared" si="478"/>
        <v>Broken Wire (# Broken Subconductors)</v>
      </c>
      <c r="BB341" s="552">
        <f t="shared" si="479"/>
        <v>4</v>
      </c>
      <c r="BC341" s="554" t="str">
        <f t="shared" si="480"/>
        <v>11:1:Ahead</v>
      </c>
      <c r="BD341" s="554" t="str">
        <f t="shared" si="481"/>
        <v>Broken Wire (# Broken Subconductors)</v>
      </c>
      <c r="BE341" s="552">
        <f t="shared" si="482"/>
        <v>4</v>
      </c>
      <c r="BF341" s="554" t="str">
        <f t="shared" si="510"/>
        <v>2:1:Ahead</v>
      </c>
      <c r="BG341" s="554" t="str">
        <f t="shared" si="483"/>
        <v>Broken Wire (# Broken Subconductors)</v>
      </c>
      <c r="BH341" s="552">
        <f t="shared" si="484"/>
        <v>4</v>
      </c>
      <c r="BI341" s="554" t="str">
        <f t="shared" si="485"/>
        <v>12:1:Ahead</v>
      </c>
      <c r="BJ341" s="554" t="str">
        <f t="shared" si="486"/>
        <v>Broken Wire (# Broken Subconductors)</v>
      </c>
      <c r="BK341" s="552">
        <f t="shared" si="487"/>
        <v>4</v>
      </c>
      <c r="BL341" s="554" t="str">
        <f t="shared" si="488"/>
        <v/>
      </c>
      <c r="BM341" s="554" t="str">
        <f t="shared" si="489"/>
        <v/>
      </c>
      <c r="BN341" s="552" t="str">
        <f t="shared" si="490"/>
        <v/>
      </c>
      <c r="BO341" s="554" t="str">
        <f t="shared" si="491"/>
        <v/>
      </c>
      <c r="BP341" s="554" t="str">
        <f t="shared" si="492"/>
        <v/>
      </c>
      <c r="BQ341" s="552" t="str">
        <f t="shared" si="493"/>
        <v/>
      </c>
      <c r="BR341" s="554"/>
      <c r="BS341" s="554"/>
      <c r="BT341" s="554"/>
      <c r="BU341" s="554"/>
      <c r="BV341" s="554"/>
      <c r="BW341" s="554"/>
      <c r="BX341" s="554"/>
      <c r="BY341" s="554"/>
      <c r="BZ341" s="554"/>
      <c r="CA341" s="554"/>
      <c r="CB341" s="554"/>
      <c r="CC341" s="554"/>
      <c r="CD341" s="554"/>
      <c r="CE341" s="554"/>
      <c r="CF341" s="554"/>
      <c r="CG341" s="554"/>
      <c r="CH341" s="554"/>
      <c r="CI341" s="554"/>
      <c r="CJ341" s="554"/>
      <c r="CK341" s="554"/>
      <c r="CL341" s="554"/>
      <c r="CM341" s="554"/>
      <c r="CN341" s="554"/>
      <c r="CO341" s="554"/>
      <c r="CP341" s="554"/>
      <c r="CQ341" s="554"/>
      <c r="CR341" s="554"/>
      <c r="CS341" s="554"/>
      <c r="CT341" s="554"/>
      <c r="CU341" s="554"/>
      <c r="CV341" s="554"/>
      <c r="CW341" s="554"/>
      <c r="CX341" s="554"/>
      <c r="CY341" s="554"/>
      <c r="CZ341" s="554"/>
      <c r="DA341" s="554"/>
      <c r="DB341" s="554"/>
      <c r="DC341" s="554"/>
      <c r="DD341" s="554"/>
      <c r="DE341" s="534"/>
      <c r="DF341" s="534"/>
      <c r="DG341" s="534"/>
    </row>
    <row r="342" spans="1:111" ht="15" x14ac:dyDescent="0.25">
      <c r="A342" s="549">
        <f>IFERROR(IF(INDEX('Weather Cases'!$E$10:$E$94,MATCH('Load Criteria'!X342,'Weather Cases'!$H$10:$H$94,0),1)=1,1,"-"),"-")</f>
        <v>1</v>
      </c>
      <c r="B342" s="555" t="s">
        <v>558</v>
      </c>
      <c r="C342" s="556" t="str">
        <f>IF('Weather Cases'!$E$44=0,"","DC")</f>
        <v>DC</v>
      </c>
      <c r="D342" s="555" t="s">
        <v>579</v>
      </c>
      <c r="E342" s="556">
        <v>2</v>
      </c>
      <c r="F342" s="556" t="s">
        <v>22</v>
      </c>
      <c r="G342" s="556" t="str">
        <f>IFERROR(IF(MID('Load Criteria'!X342,FIND("_",'Load Criteria'!X342,1)+1,1)=LEFT(Control!$D$23,1),"YES","-"),"-")</f>
        <v>-</v>
      </c>
      <c r="H342" s="549" t="s">
        <v>22</v>
      </c>
      <c r="I342" s="557" t="s">
        <v>331</v>
      </c>
      <c r="J342" s="550">
        <f>Control!$D$25</f>
        <v>1</v>
      </c>
      <c r="K342" s="508" t="s">
        <v>571</v>
      </c>
      <c r="L342" s="508" t="s">
        <v>24</v>
      </c>
      <c r="M342" s="550">
        <v>2</v>
      </c>
      <c r="N342" s="550">
        <v>3</v>
      </c>
      <c r="O342" s="550"/>
      <c r="P342" s="392"/>
      <c r="Q342" s="392"/>
      <c r="R342" s="392"/>
      <c r="S342" s="392"/>
      <c r="T342" s="392"/>
      <c r="U342" s="255" t="s">
        <v>574</v>
      </c>
      <c r="V342" s="551"/>
      <c r="W342" s="542" t="str">
        <f t="shared" si="494"/>
        <v>RS0001_8+TA23 NA-</v>
      </c>
      <c r="X342" s="552" t="str">
        <f>I342&amp;TEXT(J342,"0000")&amp;"_"&amp;LEFT(Control!$D$22,LEN(Control!$D$22)-2)</f>
        <v>RS0001_8</v>
      </c>
      <c r="Y342" s="552" t="s">
        <v>433</v>
      </c>
      <c r="Z342" s="552" t="str">
        <f t="shared" si="476"/>
        <v>NA-</v>
      </c>
      <c r="AA342" s="552"/>
      <c r="AB342" s="552">
        <v>1</v>
      </c>
      <c r="AC342" s="552">
        <v>1</v>
      </c>
      <c r="AD342" s="552">
        <v>1</v>
      </c>
      <c r="AE342" s="552">
        <v>1</v>
      </c>
      <c r="AF342" s="552">
        <v>1</v>
      </c>
      <c r="AG342" s="542" t="s">
        <v>561</v>
      </c>
      <c r="AH342" s="552">
        <v>0</v>
      </c>
      <c r="AI342" s="552">
        <v>0</v>
      </c>
      <c r="AJ342" s="552">
        <v>1</v>
      </c>
      <c r="AK342" s="552">
        <v>1</v>
      </c>
      <c r="AL342" s="552">
        <v>1</v>
      </c>
      <c r="AM342" s="552">
        <v>0</v>
      </c>
      <c r="AN342" s="552">
        <v>0</v>
      </c>
      <c r="AO342" s="552">
        <v>1</v>
      </c>
      <c r="AP342" s="552">
        <v>1</v>
      </c>
      <c r="AQ342" s="552">
        <v>1</v>
      </c>
      <c r="AR342" s="552">
        <v>1</v>
      </c>
      <c r="AS342" s="552">
        <v>1</v>
      </c>
      <c r="AT342" s="552">
        <v>1</v>
      </c>
      <c r="AU342" s="552">
        <v>1</v>
      </c>
      <c r="AV342" s="553" t="str">
        <f>IF(H342="YES",IF($AV$2="Y","'"&amp;INDEX('Structure Groups'!$C$12:$C$14,MATCH($B$5,'Structure Groups'!$B$12:$B$14,0),1)&amp;"'","'"&amp;INDEX('Structure Groups'!$C$16:$C$18,MATCH($B$5,'Structure Groups'!$B$16:$B$18,0),1)&amp;"'"),IF($AV$2="Y","'All'","'Stop'"))</f>
        <v>'Stop'</v>
      </c>
      <c r="AW342" s="552" t="s">
        <v>562</v>
      </c>
      <c r="AX342" s="552"/>
      <c r="AY342" s="552" t="str">
        <f t="shared" si="526"/>
        <v>Yes</v>
      </c>
      <c r="AZ342" s="554" t="str">
        <f t="shared" si="477"/>
        <v>2:1:Ahead</v>
      </c>
      <c r="BA342" s="554" t="str">
        <f t="shared" si="478"/>
        <v>Broken Wire (# Broken Subconductors)</v>
      </c>
      <c r="BB342" s="552">
        <f t="shared" si="479"/>
        <v>4</v>
      </c>
      <c r="BC342" s="554" t="str">
        <f t="shared" si="480"/>
        <v>12:1:Ahead</v>
      </c>
      <c r="BD342" s="554" t="str">
        <f t="shared" si="481"/>
        <v>Broken Wire (# Broken Subconductors)</v>
      </c>
      <c r="BE342" s="552">
        <f t="shared" si="482"/>
        <v>4</v>
      </c>
      <c r="BF342" s="554" t="str">
        <f t="shared" si="510"/>
        <v>3:1:Ahead</v>
      </c>
      <c r="BG342" s="554" t="str">
        <f t="shared" si="483"/>
        <v>Broken Wire (# Broken Subconductors)</v>
      </c>
      <c r="BH342" s="552">
        <f t="shared" si="484"/>
        <v>4</v>
      </c>
      <c r="BI342" s="554" t="str">
        <f t="shared" si="485"/>
        <v>13:1:Ahead</v>
      </c>
      <c r="BJ342" s="554" t="str">
        <f t="shared" si="486"/>
        <v>Broken Wire (# Broken Subconductors)</v>
      </c>
      <c r="BK342" s="552">
        <f t="shared" si="487"/>
        <v>4</v>
      </c>
      <c r="BL342" s="554" t="str">
        <f t="shared" si="488"/>
        <v/>
      </c>
      <c r="BM342" s="554" t="str">
        <f t="shared" si="489"/>
        <v/>
      </c>
      <c r="BN342" s="552" t="str">
        <f t="shared" si="490"/>
        <v/>
      </c>
      <c r="BO342" s="554" t="str">
        <f t="shared" si="491"/>
        <v/>
      </c>
      <c r="BP342" s="554" t="str">
        <f t="shared" si="492"/>
        <v/>
      </c>
      <c r="BQ342" s="552" t="str">
        <f t="shared" si="493"/>
        <v/>
      </c>
      <c r="BR342" s="554"/>
      <c r="BS342" s="554"/>
      <c r="BT342" s="554"/>
      <c r="BU342" s="554"/>
      <c r="BV342" s="554"/>
      <c r="BW342" s="554"/>
      <c r="BX342" s="554"/>
      <c r="BY342" s="554"/>
      <c r="BZ342" s="554"/>
      <c r="CA342" s="554"/>
      <c r="CB342" s="554"/>
      <c r="CC342" s="554"/>
      <c r="CD342" s="554"/>
      <c r="CE342" s="554"/>
      <c r="CF342" s="554"/>
      <c r="CG342" s="554"/>
      <c r="CH342" s="554"/>
      <c r="CI342" s="554"/>
      <c r="CJ342" s="554"/>
      <c r="CK342" s="554"/>
      <c r="CL342" s="554"/>
      <c r="CM342" s="554"/>
      <c r="CN342" s="554"/>
      <c r="CO342" s="554"/>
      <c r="CP342" s="554"/>
      <c r="CQ342" s="554"/>
      <c r="CR342" s="554"/>
      <c r="CS342" s="554"/>
      <c r="CT342" s="554"/>
      <c r="CU342" s="554"/>
      <c r="CV342" s="554"/>
      <c r="CW342" s="554"/>
      <c r="CX342" s="554"/>
      <c r="CY342" s="554"/>
      <c r="CZ342" s="554"/>
      <c r="DA342" s="554"/>
      <c r="DB342" s="554"/>
      <c r="DC342" s="554"/>
      <c r="DD342" s="554"/>
      <c r="DE342" s="534"/>
      <c r="DF342" s="534"/>
      <c r="DG342" s="534"/>
    </row>
    <row r="343" spans="1:111" ht="15" x14ac:dyDescent="0.25">
      <c r="A343" s="549">
        <f>IFERROR(IF(INDEX('Weather Cases'!$E$10:$E$94,MATCH('Load Criteria'!X343,'Weather Cases'!$H$10:$H$94,0),1)=1,1,"-"),"-")</f>
        <v>1</v>
      </c>
      <c r="B343" s="555" t="s">
        <v>558</v>
      </c>
      <c r="C343" s="556" t="str">
        <f>IF('Weather Cases'!$E$44=0,"","DC")</f>
        <v>DC</v>
      </c>
      <c r="D343" s="555" t="s">
        <v>579</v>
      </c>
      <c r="E343" s="556">
        <v>2</v>
      </c>
      <c r="F343" s="556" t="s">
        <v>22</v>
      </c>
      <c r="G343" s="556" t="str">
        <f>IFERROR(IF(MID('Load Criteria'!X343,FIND("_",'Load Criteria'!X343,1)+1,1)=LEFT(Control!$D$23,1),"YES","-"),"-")</f>
        <v>-</v>
      </c>
      <c r="H343" s="549" t="s">
        <v>22</v>
      </c>
      <c r="I343" s="557" t="s">
        <v>331</v>
      </c>
      <c r="J343" s="550">
        <f>Control!$D$25</f>
        <v>1</v>
      </c>
      <c r="K343" s="508" t="s">
        <v>571</v>
      </c>
      <c r="L343" s="508" t="s">
        <v>24</v>
      </c>
      <c r="M343" s="550">
        <v>1</v>
      </c>
      <c r="N343" s="550">
        <v>3</v>
      </c>
      <c r="O343" s="550"/>
      <c r="P343" s="392"/>
      <c r="Q343" s="392"/>
      <c r="R343" s="392"/>
      <c r="S343" s="392"/>
      <c r="T343" s="392"/>
      <c r="U343" s="255" t="s">
        <v>574</v>
      </c>
      <c r="V343" s="551"/>
      <c r="W343" s="542" t="str">
        <f t="shared" si="494"/>
        <v>RS0001_8+TA13 NA-</v>
      </c>
      <c r="X343" s="552" t="str">
        <f>I343&amp;TEXT(J343,"0000")&amp;"_"&amp;LEFT(Control!$D$22,LEN(Control!$D$22)-2)</f>
        <v>RS0001_8</v>
      </c>
      <c r="Y343" s="552" t="s">
        <v>433</v>
      </c>
      <c r="Z343" s="552" t="str">
        <f t="shared" si="476"/>
        <v>NA-</v>
      </c>
      <c r="AA343" s="552"/>
      <c r="AB343" s="552">
        <v>1</v>
      </c>
      <c r="AC343" s="552">
        <v>1</v>
      </c>
      <c r="AD343" s="552">
        <v>1</v>
      </c>
      <c r="AE343" s="552">
        <v>1</v>
      </c>
      <c r="AF343" s="552">
        <v>1</v>
      </c>
      <c r="AG343" s="542" t="s">
        <v>561</v>
      </c>
      <c r="AH343" s="552">
        <v>0</v>
      </c>
      <c r="AI343" s="552">
        <v>0</v>
      </c>
      <c r="AJ343" s="552">
        <v>1</v>
      </c>
      <c r="AK343" s="552">
        <v>1</v>
      </c>
      <c r="AL343" s="552">
        <v>1</v>
      </c>
      <c r="AM343" s="552">
        <v>0</v>
      </c>
      <c r="AN343" s="552">
        <v>0</v>
      </c>
      <c r="AO343" s="552">
        <v>1</v>
      </c>
      <c r="AP343" s="552">
        <v>1</v>
      </c>
      <c r="AQ343" s="552">
        <v>1</v>
      </c>
      <c r="AR343" s="552">
        <v>1</v>
      </c>
      <c r="AS343" s="552">
        <v>1</v>
      </c>
      <c r="AT343" s="552">
        <v>1</v>
      </c>
      <c r="AU343" s="552">
        <v>1</v>
      </c>
      <c r="AV343" s="553" t="str">
        <f>IF(H343="YES",IF($AV$2="Y","'"&amp;INDEX('Structure Groups'!$C$12:$C$14,MATCH($B$5,'Structure Groups'!$B$12:$B$14,0),1)&amp;"'","'"&amp;INDEX('Structure Groups'!$C$16:$C$18,MATCH($B$5,'Structure Groups'!$B$16:$B$18,0),1)&amp;"'"),IF($AV$2="Y","'All'","'Stop'"))</f>
        <v>'Stop'</v>
      </c>
      <c r="AW343" s="552" t="s">
        <v>562</v>
      </c>
      <c r="AX343" s="552"/>
      <c r="AY343" s="552" t="str">
        <f t="shared" si="526"/>
        <v>Yes</v>
      </c>
      <c r="AZ343" s="554" t="str">
        <f t="shared" si="477"/>
        <v>1:1:Ahead</v>
      </c>
      <c r="BA343" s="554" t="str">
        <f t="shared" si="478"/>
        <v>Broken Wire (# Broken Subconductors)</v>
      </c>
      <c r="BB343" s="552">
        <f t="shared" si="479"/>
        <v>4</v>
      </c>
      <c r="BC343" s="554" t="str">
        <f t="shared" si="480"/>
        <v>11:1:Ahead</v>
      </c>
      <c r="BD343" s="554" t="str">
        <f t="shared" si="481"/>
        <v>Broken Wire (# Broken Subconductors)</v>
      </c>
      <c r="BE343" s="552">
        <f t="shared" si="482"/>
        <v>4</v>
      </c>
      <c r="BF343" s="554" t="str">
        <f t="shared" si="510"/>
        <v>3:1:Ahead</v>
      </c>
      <c r="BG343" s="554" t="str">
        <f t="shared" si="483"/>
        <v>Broken Wire (# Broken Subconductors)</v>
      </c>
      <c r="BH343" s="552">
        <f t="shared" si="484"/>
        <v>4</v>
      </c>
      <c r="BI343" s="554" t="str">
        <f t="shared" si="485"/>
        <v>13:1:Ahead</v>
      </c>
      <c r="BJ343" s="554" t="str">
        <f t="shared" si="486"/>
        <v>Broken Wire (# Broken Subconductors)</v>
      </c>
      <c r="BK343" s="552">
        <f t="shared" si="487"/>
        <v>4</v>
      </c>
      <c r="BL343" s="554" t="str">
        <f t="shared" si="488"/>
        <v/>
      </c>
      <c r="BM343" s="554" t="str">
        <f t="shared" si="489"/>
        <v/>
      </c>
      <c r="BN343" s="552" t="str">
        <f t="shared" si="490"/>
        <v/>
      </c>
      <c r="BO343" s="554" t="str">
        <f t="shared" si="491"/>
        <v/>
      </c>
      <c r="BP343" s="554" t="str">
        <f t="shared" si="492"/>
        <v/>
      </c>
      <c r="BQ343" s="552" t="str">
        <f t="shared" si="493"/>
        <v/>
      </c>
      <c r="BR343" s="554"/>
      <c r="BS343" s="554"/>
      <c r="BT343" s="554"/>
      <c r="BU343" s="554"/>
      <c r="BV343" s="554"/>
      <c r="BW343" s="554"/>
      <c r="BX343" s="554"/>
      <c r="BY343" s="554"/>
      <c r="BZ343" s="554"/>
      <c r="CA343" s="554"/>
      <c r="CB343" s="554"/>
      <c r="CC343" s="554"/>
      <c r="CD343" s="554"/>
      <c r="CE343" s="554"/>
      <c r="CF343" s="554"/>
      <c r="CG343" s="554"/>
      <c r="CH343" s="554"/>
      <c r="CI343" s="554"/>
      <c r="CJ343" s="554"/>
      <c r="CK343" s="554"/>
      <c r="CL343" s="554"/>
      <c r="CM343" s="554"/>
      <c r="CN343" s="554"/>
      <c r="CO343" s="554"/>
      <c r="CP343" s="554"/>
      <c r="CQ343" s="554"/>
      <c r="CR343" s="554"/>
      <c r="CS343" s="554"/>
      <c r="CT343" s="554"/>
      <c r="CU343" s="554"/>
      <c r="CV343" s="554"/>
      <c r="CW343" s="554"/>
      <c r="CX343" s="554"/>
      <c r="CY343" s="554"/>
      <c r="CZ343" s="554"/>
      <c r="DA343" s="554"/>
      <c r="DB343" s="554"/>
      <c r="DC343" s="554"/>
      <c r="DD343" s="554"/>
      <c r="DE343" s="534"/>
      <c r="DF343" s="534"/>
      <c r="DG343" s="534"/>
    </row>
    <row r="344" spans="1:111" ht="15" x14ac:dyDescent="0.25">
      <c r="A344" s="549">
        <f>IFERROR(IF(INDEX('Weather Cases'!$E$10:$E$94,MATCH('Load Criteria'!X344,'Weather Cases'!$H$10:$H$94,0),1)=1,1,"-"),"-")</f>
        <v>1</v>
      </c>
      <c r="B344" s="555" t="s">
        <v>558</v>
      </c>
      <c r="C344" s="556" t="str">
        <f>IF('Weather Cases'!$E$44=0,"","DC")</f>
        <v>DC</v>
      </c>
      <c r="D344" s="555" t="s">
        <v>579</v>
      </c>
      <c r="E344" s="556">
        <v>2</v>
      </c>
      <c r="F344" s="555" t="s">
        <v>580</v>
      </c>
      <c r="G344" s="556" t="str">
        <f>IFERROR(IF(MID('Load Criteria'!X344,FIND("_",'Load Criteria'!X344,1)+1,1)=LEFT(Control!$D$23,1),"YES","-"),"-")</f>
        <v>-</v>
      </c>
      <c r="H344" s="549" t="s">
        <v>22</v>
      </c>
      <c r="I344" s="557" t="s">
        <v>331</v>
      </c>
      <c r="J344" s="550">
        <f>Control!$D$25</f>
        <v>1</v>
      </c>
      <c r="K344" s="508" t="s">
        <v>571</v>
      </c>
      <c r="L344" s="508" t="s">
        <v>24</v>
      </c>
      <c r="M344" s="550">
        <v>3</v>
      </c>
      <c r="N344" s="550">
        <v>7</v>
      </c>
      <c r="O344" s="550"/>
      <c r="P344" s="392"/>
      <c r="Q344" s="392"/>
      <c r="R344" s="392"/>
      <c r="S344" s="392"/>
      <c r="T344" s="392"/>
      <c r="U344" s="255" t="s">
        <v>574</v>
      </c>
      <c r="V344" s="551"/>
      <c r="W344" s="542" t="str">
        <f t="shared" si="494"/>
        <v>RS0001_8+TA37 NA-</v>
      </c>
      <c r="X344" s="552" t="str">
        <f>I344&amp;TEXT(J344,"0000")&amp;"_"&amp;LEFT(Control!$D$22,LEN(Control!$D$22)-2)</f>
        <v>RS0001_8</v>
      </c>
      <c r="Y344" s="552" t="s">
        <v>433</v>
      </c>
      <c r="Z344" s="552" t="str">
        <f t="shared" si="476"/>
        <v>NA-</v>
      </c>
      <c r="AA344" s="552"/>
      <c r="AB344" s="552">
        <v>1</v>
      </c>
      <c r="AC344" s="552">
        <v>1</v>
      </c>
      <c r="AD344" s="552">
        <v>1</v>
      </c>
      <c r="AE344" s="552">
        <v>1</v>
      </c>
      <c r="AF344" s="552">
        <v>1</v>
      </c>
      <c r="AG344" s="542" t="s">
        <v>561</v>
      </c>
      <c r="AH344" s="552">
        <v>0</v>
      </c>
      <c r="AI344" s="552">
        <v>0</v>
      </c>
      <c r="AJ344" s="552">
        <v>1</v>
      </c>
      <c r="AK344" s="552">
        <v>1</v>
      </c>
      <c r="AL344" s="552">
        <v>1</v>
      </c>
      <c r="AM344" s="552">
        <v>0</v>
      </c>
      <c r="AN344" s="552">
        <v>0</v>
      </c>
      <c r="AO344" s="552">
        <v>1</v>
      </c>
      <c r="AP344" s="552">
        <v>1</v>
      </c>
      <c r="AQ344" s="552">
        <v>1</v>
      </c>
      <c r="AR344" s="552">
        <v>1</v>
      </c>
      <c r="AS344" s="552">
        <v>1</v>
      </c>
      <c r="AT344" s="552">
        <v>1</v>
      </c>
      <c r="AU344" s="552">
        <v>1</v>
      </c>
      <c r="AV344" s="553" t="str">
        <f>IF(H344="YES",IF($AV$2="Y","'"&amp;INDEX('Structure Groups'!$C$12:$C$14,MATCH($B$5,'Structure Groups'!$B$12:$B$14,0),1)&amp;"'","'"&amp;INDEX('Structure Groups'!$C$16:$C$18,MATCH($B$5,'Structure Groups'!$B$16:$B$18,0),1)&amp;"'"),IF($AV$2="Y","'All'","'Stop'"))</f>
        <v>'Stop'</v>
      </c>
      <c r="AW344" s="552" t="s">
        <v>562</v>
      </c>
      <c r="AX344" s="552"/>
      <c r="AY344" s="552" t="str">
        <f t="shared" si="526"/>
        <v>Yes</v>
      </c>
      <c r="AZ344" s="554" t="str">
        <f t="shared" si="477"/>
        <v>3:1:Ahead</v>
      </c>
      <c r="BA344" s="554" t="str">
        <f t="shared" si="478"/>
        <v>Broken Wire (# Broken Subconductors)</v>
      </c>
      <c r="BB344" s="552">
        <f t="shared" si="479"/>
        <v>4</v>
      </c>
      <c r="BC344" s="554" t="str">
        <f t="shared" si="480"/>
        <v>13:1:Ahead</v>
      </c>
      <c r="BD344" s="554" t="str">
        <f t="shared" si="481"/>
        <v>Broken Wire (# Broken Subconductors)</v>
      </c>
      <c r="BE344" s="552">
        <f t="shared" si="482"/>
        <v>4</v>
      </c>
      <c r="BF344" s="554" t="str">
        <f t="shared" si="510"/>
        <v>7:1:Ahead</v>
      </c>
      <c r="BG344" s="554" t="str">
        <f t="shared" si="483"/>
        <v>Broken Wire (# Broken Subconductors)</v>
      </c>
      <c r="BH344" s="552">
        <f t="shared" si="484"/>
        <v>4</v>
      </c>
      <c r="BI344" s="554" t="str">
        <f t="shared" si="485"/>
        <v>17:1:Ahead</v>
      </c>
      <c r="BJ344" s="554" t="str">
        <f t="shared" si="486"/>
        <v>Broken Wire (# Broken Subconductors)</v>
      </c>
      <c r="BK344" s="552">
        <f t="shared" si="487"/>
        <v>4</v>
      </c>
      <c r="BL344" s="554" t="str">
        <f t="shared" si="488"/>
        <v/>
      </c>
      <c r="BM344" s="554" t="str">
        <f t="shared" si="489"/>
        <v/>
      </c>
      <c r="BN344" s="552" t="str">
        <f t="shared" si="490"/>
        <v/>
      </c>
      <c r="BO344" s="554" t="str">
        <f t="shared" si="491"/>
        <v/>
      </c>
      <c r="BP344" s="554" t="str">
        <f t="shared" si="492"/>
        <v/>
      </c>
      <c r="BQ344" s="552" t="str">
        <f t="shared" si="493"/>
        <v/>
      </c>
      <c r="BR344" s="554"/>
      <c r="BS344" s="554"/>
      <c r="BT344" s="554"/>
      <c r="BU344" s="554"/>
      <c r="BV344" s="554"/>
      <c r="BW344" s="554"/>
      <c r="BX344" s="554"/>
      <c r="BY344" s="554"/>
      <c r="BZ344" s="554"/>
      <c r="CA344" s="554"/>
      <c r="CB344" s="554"/>
      <c r="CC344" s="554"/>
      <c r="CD344" s="554"/>
      <c r="CE344" s="554"/>
      <c r="CF344" s="554"/>
      <c r="CG344" s="554"/>
      <c r="CH344" s="554"/>
      <c r="CI344" s="554"/>
      <c r="CJ344" s="554"/>
      <c r="CK344" s="554"/>
      <c r="CL344" s="554"/>
      <c r="CM344" s="554"/>
      <c r="CN344" s="554"/>
      <c r="CO344" s="554"/>
      <c r="CP344" s="554"/>
      <c r="CQ344" s="554"/>
      <c r="CR344" s="554"/>
      <c r="CS344" s="554"/>
      <c r="CT344" s="554"/>
      <c r="CU344" s="554"/>
      <c r="CV344" s="554"/>
      <c r="CW344" s="554"/>
      <c r="CX344" s="554"/>
      <c r="CY344" s="554"/>
      <c r="CZ344" s="554"/>
      <c r="DA344" s="554"/>
      <c r="DB344" s="554"/>
      <c r="DC344" s="554"/>
      <c r="DD344" s="554"/>
      <c r="DE344" s="534"/>
      <c r="DF344" s="534"/>
      <c r="DG344" s="534"/>
    </row>
    <row r="345" spans="1:111" ht="15" x14ac:dyDescent="0.25">
      <c r="A345" s="549">
        <f>IFERROR(IF(INDEX('Weather Cases'!$E$10:$E$94,MATCH('Load Criteria'!X345,'Weather Cases'!$H$10:$H$94,0),1)=1,1,"-"),"-")</f>
        <v>1</v>
      </c>
      <c r="B345" s="555" t="s">
        <v>558</v>
      </c>
      <c r="C345" s="556" t="str">
        <f>IF('Weather Cases'!$E$44=0,"","DC")</f>
        <v>DC</v>
      </c>
      <c r="D345" s="555" t="s">
        <v>579</v>
      </c>
      <c r="E345" s="556">
        <v>2</v>
      </c>
      <c r="F345" s="556" t="s">
        <v>22</v>
      </c>
      <c r="G345" s="556" t="str">
        <f>IFERROR(IF(MID('Load Criteria'!X345,FIND("_",'Load Criteria'!X345,1)+1,1)=LEFT(Control!$D$23,1),"YES","-"),"-")</f>
        <v>-</v>
      </c>
      <c r="H345" s="549" t="s">
        <v>22</v>
      </c>
      <c r="I345" s="557" t="s">
        <v>331</v>
      </c>
      <c r="J345" s="550">
        <f>Control!$D$25</f>
        <v>1</v>
      </c>
      <c r="K345" s="508" t="s">
        <v>571</v>
      </c>
      <c r="L345" s="508" t="s">
        <v>24</v>
      </c>
      <c r="M345" s="550">
        <v>4</v>
      </c>
      <c r="N345" s="550">
        <v>5</v>
      </c>
      <c r="O345" s="550"/>
      <c r="P345" s="392"/>
      <c r="Q345" s="392"/>
      <c r="R345" s="392"/>
      <c r="S345" s="392"/>
      <c r="T345" s="392"/>
      <c r="U345" s="255" t="s">
        <v>574</v>
      </c>
      <c r="V345" s="551"/>
      <c r="W345" s="542" t="str">
        <f t="shared" si="494"/>
        <v>RS0001_8+TA45 NA-</v>
      </c>
      <c r="X345" s="552" t="str">
        <f>I345&amp;TEXT(J345,"0000")&amp;"_"&amp;LEFT(Control!$D$22,LEN(Control!$D$22)-2)</f>
        <v>RS0001_8</v>
      </c>
      <c r="Y345" s="552" t="s">
        <v>433</v>
      </c>
      <c r="Z345" s="552" t="str">
        <f t="shared" si="476"/>
        <v>NA-</v>
      </c>
      <c r="AA345" s="552"/>
      <c r="AB345" s="552">
        <v>1</v>
      </c>
      <c r="AC345" s="552">
        <v>1</v>
      </c>
      <c r="AD345" s="552">
        <v>1</v>
      </c>
      <c r="AE345" s="552">
        <v>1</v>
      </c>
      <c r="AF345" s="552">
        <v>1</v>
      </c>
      <c r="AG345" s="542" t="s">
        <v>561</v>
      </c>
      <c r="AH345" s="552">
        <v>0</v>
      </c>
      <c r="AI345" s="552">
        <v>0</v>
      </c>
      <c r="AJ345" s="552">
        <v>1</v>
      </c>
      <c r="AK345" s="552">
        <v>1</v>
      </c>
      <c r="AL345" s="552">
        <v>1</v>
      </c>
      <c r="AM345" s="552">
        <v>0</v>
      </c>
      <c r="AN345" s="552">
        <v>0</v>
      </c>
      <c r="AO345" s="552">
        <v>1</v>
      </c>
      <c r="AP345" s="552">
        <v>1</v>
      </c>
      <c r="AQ345" s="552">
        <v>1</v>
      </c>
      <c r="AR345" s="552">
        <v>1</v>
      </c>
      <c r="AS345" s="552">
        <v>1</v>
      </c>
      <c r="AT345" s="552">
        <v>1</v>
      </c>
      <c r="AU345" s="552">
        <v>1</v>
      </c>
      <c r="AV345" s="553" t="str">
        <f>IF(H345="YES",IF($AV$2="Y","'"&amp;INDEX('Structure Groups'!$C$12:$C$14,MATCH($B$5,'Structure Groups'!$B$12:$B$14,0),1)&amp;"'","'"&amp;INDEX('Structure Groups'!$C$16:$C$18,MATCH($B$5,'Structure Groups'!$B$16:$B$18,0),1)&amp;"'"),IF($AV$2="Y","'All'","'Stop'"))</f>
        <v>'Stop'</v>
      </c>
      <c r="AW345" s="552" t="s">
        <v>562</v>
      </c>
      <c r="AX345" s="552"/>
      <c r="AY345" s="552" t="str">
        <f t="shared" si="526"/>
        <v>Yes</v>
      </c>
      <c r="AZ345" s="554" t="str">
        <f t="shared" si="477"/>
        <v>4:1:Ahead</v>
      </c>
      <c r="BA345" s="554" t="str">
        <f t="shared" si="478"/>
        <v>Broken Wire (# Broken Subconductors)</v>
      </c>
      <c r="BB345" s="552">
        <f t="shared" si="479"/>
        <v>4</v>
      </c>
      <c r="BC345" s="554" t="str">
        <f t="shared" si="480"/>
        <v>14:1:Ahead</v>
      </c>
      <c r="BD345" s="554" t="str">
        <f t="shared" si="481"/>
        <v>Broken Wire (# Broken Subconductors)</v>
      </c>
      <c r="BE345" s="552">
        <f t="shared" si="482"/>
        <v>4</v>
      </c>
      <c r="BF345" s="554" t="str">
        <f t="shared" si="510"/>
        <v>5:1:Ahead</v>
      </c>
      <c r="BG345" s="554" t="str">
        <f t="shared" si="483"/>
        <v>Broken Wire (# Broken Subconductors)</v>
      </c>
      <c r="BH345" s="552">
        <f t="shared" si="484"/>
        <v>4</v>
      </c>
      <c r="BI345" s="554" t="str">
        <f t="shared" si="485"/>
        <v>15:1:Ahead</v>
      </c>
      <c r="BJ345" s="554" t="str">
        <f t="shared" si="486"/>
        <v>Broken Wire (# Broken Subconductors)</v>
      </c>
      <c r="BK345" s="552">
        <f t="shared" si="487"/>
        <v>4</v>
      </c>
      <c r="BL345" s="554" t="str">
        <f t="shared" si="488"/>
        <v/>
      </c>
      <c r="BM345" s="554" t="str">
        <f t="shared" si="489"/>
        <v/>
      </c>
      <c r="BN345" s="552" t="str">
        <f t="shared" si="490"/>
        <v/>
      </c>
      <c r="BO345" s="554" t="str">
        <f t="shared" si="491"/>
        <v/>
      </c>
      <c r="BP345" s="554" t="str">
        <f t="shared" si="492"/>
        <v/>
      </c>
      <c r="BQ345" s="552" t="str">
        <f t="shared" si="493"/>
        <v/>
      </c>
      <c r="BR345" s="554"/>
      <c r="BS345" s="554"/>
      <c r="BT345" s="554"/>
      <c r="BU345" s="554"/>
      <c r="BV345" s="554"/>
      <c r="BW345" s="554"/>
      <c r="BX345" s="554"/>
      <c r="BY345" s="554"/>
      <c r="BZ345" s="554"/>
      <c r="CA345" s="554"/>
      <c r="CB345" s="554"/>
      <c r="CC345" s="554"/>
      <c r="CD345" s="554"/>
      <c r="CE345" s="554"/>
      <c r="CF345" s="554"/>
      <c r="CG345" s="554"/>
      <c r="CH345" s="554"/>
      <c r="CI345" s="554"/>
      <c r="CJ345" s="554"/>
      <c r="CK345" s="554"/>
      <c r="CL345" s="554"/>
      <c r="CM345" s="554"/>
      <c r="CN345" s="554"/>
      <c r="CO345" s="554"/>
      <c r="CP345" s="554"/>
      <c r="CQ345" s="554"/>
      <c r="CR345" s="554"/>
      <c r="CS345" s="554"/>
      <c r="CT345" s="554"/>
      <c r="CU345" s="554"/>
      <c r="CV345" s="554"/>
      <c r="CW345" s="554"/>
      <c r="CX345" s="554"/>
      <c r="CY345" s="554"/>
      <c r="CZ345" s="554"/>
      <c r="DA345" s="554"/>
      <c r="DB345" s="554"/>
      <c r="DC345" s="554"/>
      <c r="DD345" s="554"/>
      <c r="DE345" s="534"/>
      <c r="DF345" s="534"/>
      <c r="DG345" s="534"/>
    </row>
    <row r="346" spans="1:111" ht="15" x14ac:dyDescent="0.25">
      <c r="A346" s="549">
        <f>IFERROR(IF(INDEX('Weather Cases'!$E$10:$E$94,MATCH('Load Criteria'!X346,'Weather Cases'!$H$10:$H$94,0),1)=1,1,"-"),"-")</f>
        <v>1</v>
      </c>
      <c r="B346" s="555" t="s">
        <v>558</v>
      </c>
      <c r="C346" s="556" t="str">
        <f>IF('Weather Cases'!$E$44=0,"","DC")</f>
        <v>DC</v>
      </c>
      <c r="D346" s="555" t="s">
        <v>579</v>
      </c>
      <c r="E346" s="556">
        <v>2</v>
      </c>
      <c r="F346" s="556" t="s">
        <v>22</v>
      </c>
      <c r="G346" s="556" t="str">
        <f>IFERROR(IF(MID('Load Criteria'!X346,FIND("_",'Load Criteria'!X346,1)+1,1)=LEFT(Control!$D$23,1),"YES","-"),"-")</f>
        <v>-</v>
      </c>
      <c r="H346" s="549" t="s">
        <v>22</v>
      </c>
      <c r="I346" s="557" t="s">
        <v>331</v>
      </c>
      <c r="J346" s="550">
        <f>Control!$D$25</f>
        <v>1</v>
      </c>
      <c r="K346" s="508" t="s">
        <v>571</v>
      </c>
      <c r="L346" s="508" t="s">
        <v>24</v>
      </c>
      <c r="M346" s="550">
        <v>4</v>
      </c>
      <c r="N346" s="550">
        <v>6</v>
      </c>
      <c r="O346" s="550"/>
      <c r="P346" s="392"/>
      <c r="Q346" s="392"/>
      <c r="R346" s="392"/>
      <c r="S346" s="392"/>
      <c r="T346" s="392"/>
      <c r="U346" s="255" t="s">
        <v>574</v>
      </c>
      <c r="V346" s="551"/>
      <c r="W346" s="542" t="str">
        <f t="shared" si="494"/>
        <v>RS0001_8+TA46 NA-</v>
      </c>
      <c r="X346" s="552" t="str">
        <f>I346&amp;TEXT(J346,"0000")&amp;"_"&amp;LEFT(Control!$D$22,LEN(Control!$D$22)-2)</f>
        <v>RS0001_8</v>
      </c>
      <c r="Y346" s="552" t="s">
        <v>433</v>
      </c>
      <c r="Z346" s="552" t="str">
        <f t="shared" si="476"/>
        <v>NA-</v>
      </c>
      <c r="AA346" s="552"/>
      <c r="AB346" s="552">
        <v>1</v>
      </c>
      <c r="AC346" s="552">
        <v>1</v>
      </c>
      <c r="AD346" s="552">
        <v>1</v>
      </c>
      <c r="AE346" s="552">
        <v>1</v>
      </c>
      <c r="AF346" s="552">
        <v>1</v>
      </c>
      <c r="AG346" s="542" t="s">
        <v>561</v>
      </c>
      <c r="AH346" s="552">
        <v>0</v>
      </c>
      <c r="AI346" s="552">
        <v>0</v>
      </c>
      <c r="AJ346" s="552">
        <v>1</v>
      </c>
      <c r="AK346" s="552">
        <v>1</v>
      </c>
      <c r="AL346" s="552">
        <v>1</v>
      </c>
      <c r="AM346" s="552">
        <v>0</v>
      </c>
      <c r="AN346" s="552">
        <v>0</v>
      </c>
      <c r="AO346" s="552">
        <v>1</v>
      </c>
      <c r="AP346" s="552">
        <v>1</v>
      </c>
      <c r="AQ346" s="552">
        <v>1</v>
      </c>
      <c r="AR346" s="552">
        <v>1</v>
      </c>
      <c r="AS346" s="552">
        <v>1</v>
      </c>
      <c r="AT346" s="552">
        <v>1</v>
      </c>
      <c r="AU346" s="552">
        <v>1</v>
      </c>
      <c r="AV346" s="553" t="str">
        <f>IF(H346="YES",IF($AV$2="Y","'"&amp;INDEX('Structure Groups'!$C$12:$C$14,MATCH($B$5,'Structure Groups'!$B$12:$B$14,0),1)&amp;"'","'"&amp;INDEX('Structure Groups'!$C$16:$C$18,MATCH($B$5,'Structure Groups'!$B$16:$B$18,0),1)&amp;"'"),IF($AV$2="Y","'All'","'Stop'"))</f>
        <v>'Stop'</v>
      </c>
      <c r="AW346" s="552" t="s">
        <v>562</v>
      </c>
      <c r="AX346" s="552"/>
      <c r="AY346" s="552" t="str">
        <f t="shared" si="526"/>
        <v>Yes</v>
      </c>
      <c r="AZ346" s="554" t="str">
        <f t="shared" si="477"/>
        <v>4:1:Ahead</v>
      </c>
      <c r="BA346" s="554" t="str">
        <f t="shared" si="478"/>
        <v>Broken Wire (# Broken Subconductors)</v>
      </c>
      <c r="BB346" s="552">
        <f t="shared" si="479"/>
        <v>4</v>
      </c>
      <c r="BC346" s="554" t="str">
        <f t="shared" si="480"/>
        <v>14:1:Ahead</v>
      </c>
      <c r="BD346" s="554" t="str">
        <f t="shared" si="481"/>
        <v>Broken Wire (# Broken Subconductors)</v>
      </c>
      <c r="BE346" s="552">
        <f t="shared" si="482"/>
        <v>4</v>
      </c>
      <c r="BF346" s="554" t="str">
        <f t="shared" si="510"/>
        <v>6:1:Ahead</v>
      </c>
      <c r="BG346" s="554" t="str">
        <f t="shared" si="483"/>
        <v>Broken Wire (# Broken Subconductors)</v>
      </c>
      <c r="BH346" s="552">
        <f t="shared" si="484"/>
        <v>4</v>
      </c>
      <c r="BI346" s="554" t="str">
        <f t="shared" si="485"/>
        <v>16:1:Ahead</v>
      </c>
      <c r="BJ346" s="554" t="str">
        <f t="shared" si="486"/>
        <v>Broken Wire (# Broken Subconductors)</v>
      </c>
      <c r="BK346" s="552">
        <f t="shared" si="487"/>
        <v>4</v>
      </c>
      <c r="BL346" s="554" t="str">
        <f t="shared" si="488"/>
        <v/>
      </c>
      <c r="BM346" s="554" t="str">
        <f t="shared" si="489"/>
        <v/>
      </c>
      <c r="BN346" s="552" t="str">
        <f t="shared" si="490"/>
        <v/>
      </c>
      <c r="BO346" s="554" t="str">
        <f t="shared" si="491"/>
        <v/>
      </c>
      <c r="BP346" s="554" t="str">
        <f t="shared" si="492"/>
        <v/>
      </c>
      <c r="BQ346" s="552" t="str">
        <f t="shared" si="493"/>
        <v/>
      </c>
      <c r="BR346" s="554"/>
      <c r="BS346" s="554"/>
      <c r="BT346" s="554"/>
      <c r="BU346" s="554"/>
      <c r="BV346" s="554"/>
      <c r="BW346" s="554"/>
      <c r="BX346" s="554"/>
      <c r="BY346" s="554"/>
      <c r="BZ346" s="554"/>
      <c r="CA346" s="554"/>
      <c r="CB346" s="554"/>
      <c r="CC346" s="554"/>
      <c r="CD346" s="554"/>
      <c r="CE346" s="554"/>
      <c r="CF346" s="554"/>
      <c r="CG346" s="554"/>
      <c r="CH346" s="554"/>
      <c r="CI346" s="554"/>
      <c r="CJ346" s="554"/>
      <c r="CK346" s="554"/>
      <c r="CL346" s="554"/>
      <c r="CM346" s="554"/>
      <c r="CN346" s="554"/>
      <c r="CO346" s="554"/>
      <c r="CP346" s="554"/>
      <c r="CQ346" s="554"/>
      <c r="CR346" s="554"/>
      <c r="CS346" s="554"/>
      <c r="CT346" s="554"/>
      <c r="CU346" s="554"/>
      <c r="CV346" s="554"/>
      <c r="CW346" s="554"/>
      <c r="CX346" s="554"/>
      <c r="CY346" s="554"/>
      <c r="CZ346" s="554"/>
      <c r="DA346" s="554"/>
      <c r="DB346" s="554"/>
      <c r="DC346" s="554"/>
      <c r="DD346" s="554"/>
      <c r="DE346" s="534"/>
      <c r="DF346" s="534"/>
      <c r="DG346" s="534"/>
    </row>
    <row r="347" spans="1:111" ht="15" x14ac:dyDescent="0.25">
      <c r="A347" s="549">
        <f>IFERROR(IF(INDEX('Weather Cases'!$E$10:$E$94,MATCH('Load Criteria'!X347,'Weather Cases'!$H$10:$H$94,0),1)=1,1,"-"),"-")</f>
        <v>1</v>
      </c>
      <c r="B347" s="555" t="s">
        <v>558</v>
      </c>
      <c r="C347" s="556" t="str">
        <f>IF('Weather Cases'!$E$44=0,"","DC")</f>
        <v>DC</v>
      </c>
      <c r="D347" s="555" t="s">
        <v>579</v>
      </c>
      <c r="E347" s="556">
        <v>2</v>
      </c>
      <c r="F347" s="556" t="s">
        <v>22</v>
      </c>
      <c r="G347" s="556" t="str">
        <f>IFERROR(IF(MID('Load Criteria'!X347,FIND("_",'Load Criteria'!X347,1)+1,1)=LEFT(Control!$D$23,1),"YES","-"),"-")</f>
        <v>-</v>
      </c>
      <c r="H347" s="549" t="s">
        <v>22</v>
      </c>
      <c r="I347" s="557" t="s">
        <v>331</v>
      </c>
      <c r="J347" s="550">
        <f>Control!$D$25</f>
        <v>1</v>
      </c>
      <c r="K347" s="508" t="s">
        <v>571</v>
      </c>
      <c r="L347" s="508" t="s">
        <v>24</v>
      </c>
      <c r="M347" s="550">
        <v>5</v>
      </c>
      <c r="N347" s="550">
        <v>6</v>
      </c>
      <c r="O347" s="550"/>
      <c r="P347" s="392"/>
      <c r="Q347" s="392"/>
      <c r="R347" s="392"/>
      <c r="S347" s="392"/>
      <c r="T347" s="392"/>
      <c r="U347" s="255" t="s">
        <v>574</v>
      </c>
      <c r="V347" s="551"/>
      <c r="W347" s="542" t="str">
        <f t="shared" si="494"/>
        <v>RS0001_8+TA56 NA-</v>
      </c>
      <c r="X347" s="552" t="str">
        <f>I347&amp;TEXT(J347,"0000")&amp;"_"&amp;LEFT(Control!$D$22,LEN(Control!$D$22)-2)</f>
        <v>RS0001_8</v>
      </c>
      <c r="Y347" s="552" t="s">
        <v>433</v>
      </c>
      <c r="Z347" s="552" t="str">
        <f t="shared" si="476"/>
        <v>NA-</v>
      </c>
      <c r="AA347" s="552"/>
      <c r="AB347" s="552">
        <v>1</v>
      </c>
      <c r="AC347" s="552">
        <v>1</v>
      </c>
      <c r="AD347" s="552">
        <v>1</v>
      </c>
      <c r="AE347" s="552">
        <v>1</v>
      </c>
      <c r="AF347" s="552">
        <v>1</v>
      </c>
      <c r="AG347" s="542" t="s">
        <v>561</v>
      </c>
      <c r="AH347" s="552">
        <v>0</v>
      </c>
      <c r="AI347" s="552">
        <v>0</v>
      </c>
      <c r="AJ347" s="552">
        <v>1</v>
      </c>
      <c r="AK347" s="552">
        <v>1</v>
      </c>
      <c r="AL347" s="552">
        <v>1</v>
      </c>
      <c r="AM347" s="552">
        <v>0</v>
      </c>
      <c r="AN347" s="552">
        <v>0</v>
      </c>
      <c r="AO347" s="552">
        <v>1</v>
      </c>
      <c r="AP347" s="552">
        <v>1</v>
      </c>
      <c r="AQ347" s="552">
        <v>1</v>
      </c>
      <c r="AR347" s="552">
        <v>1</v>
      </c>
      <c r="AS347" s="552">
        <v>1</v>
      </c>
      <c r="AT347" s="552">
        <v>1</v>
      </c>
      <c r="AU347" s="552">
        <v>1</v>
      </c>
      <c r="AV347" s="553" t="str">
        <f>IF(H347="YES",IF($AV$2="Y","'"&amp;INDEX('Structure Groups'!$C$12:$C$14,MATCH($B$5,'Structure Groups'!$B$12:$B$14,0),1)&amp;"'","'"&amp;INDEX('Structure Groups'!$C$16:$C$18,MATCH($B$5,'Structure Groups'!$B$16:$B$18,0),1)&amp;"'"),IF($AV$2="Y","'All'","'Stop'"))</f>
        <v>'Stop'</v>
      </c>
      <c r="AW347" s="552" t="s">
        <v>562</v>
      </c>
      <c r="AX347" s="552"/>
      <c r="AY347" s="552" t="str">
        <f t="shared" si="526"/>
        <v>Yes</v>
      </c>
      <c r="AZ347" s="554" t="str">
        <f t="shared" si="477"/>
        <v>5:1:Ahead</v>
      </c>
      <c r="BA347" s="554" t="str">
        <f t="shared" si="478"/>
        <v>Broken Wire (# Broken Subconductors)</v>
      </c>
      <c r="BB347" s="552">
        <f t="shared" si="479"/>
        <v>4</v>
      </c>
      <c r="BC347" s="554" t="str">
        <f t="shared" si="480"/>
        <v>15:1:Ahead</v>
      </c>
      <c r="BD347" s="554" t="str">
        <f t="shared" si="481"/>
        <v>Broken Wire (# Broken Subconductors)</v>
      </c>
      <c r="BE347" s="552">
        <f t="shared" si="482"/>
        <v>4</v>
      </c>
      <c r="BF347" s="554" t="str">
        <f t="shared" si="510"/>
        <v>6:1:Ahead</v>
      </c>
      <c r="BG347" s="554" t="str">
        <f t="shared" si="483"/>
        <v>Broken Wire (# Broken Subconductors)</v>
      </c>
      <c r="BH347" s="552">
        <f t="shared" si="484"/>
        <v>4</v>
      </c>
      <c r="BI347" s="554" t="str">
        <f t="shared" si="485"/>
        <v>16:1:Ahead</v>
      </c>
      <c r="BJ347" s="554" t="str">
        <f t="shared" si="486"/>
        <v>Broken Wire (# Broken Subconductors)</v>
      </c>
      <c r="BK347" s="552">
        <f t="shared" si="487"/>
        <v>4</v>
      </c>
      <c r="BL347" s="554" t="str">
        <f t="shared" si="488"/>
        <v/>
      </c>
      <c r="BM347" s="554" t="str">
        <f t="shared" si="489"/>
        <v/>
      </c>
      <c r="BN347" s="552" t="str">
        <f t="shared" si="490"/>
        <v/>
      </c>
      <c r="BO347" s="554" t="str">
        <f t="shared" si="491"/>
        <v/>
      </c>
      <c r="BP347" s="554" t="str">
        <f t="shared" si="492"/>
        <v/>
      </c>
      <c r="BQ347" s="552" t="str">
        <f t="shared" si="493"/>
        <v/>
      </c>
      <c r="BR347" s="554"/>
      <c r="BS347" s="554"/>
      <c r="BT347" s="554"/>
      <c r="BU347" s="554"/>
      <c r="BV347" s="554"/>
      <c r="BW347" s="554"/>
      <c r="BX347" s="554"/>
      <c r="BY347" s="554"/>
      <c r="BZ347" s="554"/>
      <c r="CA347" s="554"/>
      <c r="CB347" s="554"/>
      <c r="CC347" s="554"/>
      <c r="CD347" s="554"/>
      <c r="CE347" s="554"/>
      <c r="CF347" s="554"/>
      <c r="CG347" s="554"/>
      <c r="CH347" s="554"/>
      <c r="CI347" s="554"/>
      <c r="CJ347" s="554"/>
      <c r="CK347" s="554"/>
      <c r="CL347" s="554"/>
      <c r="CM347" s="554"/>
      <c r="CN347" s="554"/>
      <c r="CO347" s="554"/>
      <c r="CP347" s="554"/>
      <c r="CQ347" s="554"/>
      <c r="CR347" s="554"/>
      <c r="CS347" s="554"/>
      <c r="CT347" s="554"/>
      <c r="CU347" s="554"/>
      <c r="CV347" s="554"/>
      <c r="CW347" s="554"/>
      <c r="CX347" s="554"/>
      <c r="CY347" s="554"/>
      <c r="CZ347" s="554"/>
      <c r="DA347" s="554"/>
      <c r="DB347" s="554"/>
      <c r="DC347" s="554"/>
      <c r="DD347" s="554"/>
      <c r="DE347" s="534"/>
      <c r="DF347" s="534"/>
      <c r="DG347" s="534"/>
    </row>
    <row r="348" spans="1:111" ht="15" x14ac:dyDescent="0.25">
      <c r="A348" s="549">
        <f>IFERROR(IF(INDEX('Weather Cases'!$E$10:$E$94,MATCH('Load Criteria'!X348,'Weather Cases'!$H$10:$H$94,0),1)=1,1,"-"),"-")</f>
        <v>1</v>
      </c>
      <c r="B348" s="555" t="s">
        <v>558</v>
      </c>
      <c r="C348" s="556" t="str">
        <f>IF('Weather Cases'!$E$44=0,"","DC")</f>
        <v>DC</v>
      </c>
      <c r="D348" s="555" t="s">
        <v>579</v>
      </c>
      <c r="E348" s="556">
        <v>2</v>
      </c>
      <c r="F348" s="555" t="s">
        <v>581</v>
      </c>
      <c r="G348" s="556" t="str">
        <f>IFERROR(IF(MID('Load Criteria'!X348,FIND("_",'Load Criteria'!X348,1)+1,1)=LEFT(Control!$D$23,1),"YES","-"),"-")</f>
        <v>-</v>
      </c>
      <c r="H348" s="549" t="s">
        <v>22</v>
      </c>
      <c r="I348" s="557" t="s">
        <v>331</v>
      </c>
      <c r="J348" s="550">
        <f>Control!$D$25</f>
        <v>1</v>
      </c>
      <c r="K348" s="508" t="s">
        <v>571</v>
      </c>
      <c r="L348" s="508" t="s">
        <v>24</v>
      </c>
      <c r="M348" s="550">
        <v>6</v>
      </c>
      <c r="N348" s="550">
        <v>8</v>
      </c>
      <c r="O348" s="550"/>
      <c r="P348" s="392"/>
      <c r="Q348" s="392"/>
      <c r="R348" s="392"/>
      <c r="S348" s="392"/>
      <c r="T348" s="392"/>
      <c r="U348" s="255" t="s">
        <v>574</v>
      </c>
      <c r="V348" s="551"/>
      <c r="W348" s="542" t="str">
        <f t="shared" si="494"/>
        <v>RS0001_8+TA68 NA-</v>
      </c>
      <c r="X348" s="552" t="str">
        <f>I348&amp;TEXT(J348,"0000")&amp;"_"&amp;LEFT(Control!$D$22,LEN(Control!$D$22)-2)</f>
        <v>RS0001_8</v>
      </c>
      <c r="Y348" s="552" t="s">
        <v>433</v>
      </c>
      <c r="Z348" s="552" t="str">
        <f t="shared" si="476"/>
        <v>NA-</v>
      </c>
      <c r="AA348" s="552"/>
      <c r="AB348" s="552">
        <v>1</v>
      </c>
      <c r="AC348" s="552">
        <v>1</v>
      </c>
      <c r="AD348" s="552">
        <v>1</v>
      </c>
      <c r="AE348" s="552">
        <v>1</v>
      </c>
      <c r="AF348" s="552">
        <v>1</v>
      </c>
      <c r="AG348" s="542" t="s">
        <v>561</v>
      </c>
      <c r="AH348" s="552">
        <v>0</v>
      </c>
      <c r="AI348" s="552">
        <v>0</v>
      </c>
      <c r="AJ348" s="552">
        <v>1</v>
      </c>
      <c r="AK348" s="552">
        <v>1</v>
      </c>
      <c r="AL348" s="552">
        <v>1</v>
      </c>
      <c r="AM348" s="552">
        <v>0</v>
      </c>
      <c r="AN348" s="552">
        <v>0</v>
      </c>
      <c r="AO348" s="552">
        <v>1</v>
      </c>
      <c r="AP348" s="552">
        <v>1</v>
      </c>
      <c r="AQ348" s="552">
        <v>1</v>
      </c>
      <c r="AR348" s="552">
        <v>1</v>
      </c>
      <c r="AS348" s="552">
        <v>1</v>
      </c>
      <c r="AT348" s="552">
        <v>1</v>
      </c>
      <c r="AU348" s="552">
        <v>1</v>
      </c>
      <c r="AV348" s="553" t="str">
        <f>IF(H348="YES",IF($AV$2="Y","'"&amp;INDEX('Structure Groups'!$C$12:$C$14,MATCH($B$5,'Structure Groups'!$B$12:$B$14,0),1)&amp;"'","'"&amp;INDEX('Structure Groups'!$C$16:$C$18,MATCH($B$5,'Structure Groups'!$B$16:$B$18,0),1)&amp;"'"),IF($AV$2="Y","'All'","'Stop'"))</f>
        <v>'Stop'</v>
      </c>
      <c r="AW348" s="552" t="s">
        <v>562</v>
      </c>
      <c r="AX348" s="552"/>
      <c r="AY348" s="552" t="str">
        <f t="shared" si="526"/>
        <v>Yes</v>
      </c>
      <c r="AZ348" s="554" t="str">
        <f t="shared" si="477"/>
        <v>6:1:Ahead</v>
      </c>
      <c r="BA348" s="554" t="str">
        <f t="shared" si="478"/>
        <v>Broken Wire (# Broken Subconductors)</v>
      </c>
      <c r="BB348" s="552">
        <f t="shared" si="479"/>
        <v>4</v>
      </c>
      <c r="BC348" s="554" t="str">
        <f t="shared" si="480"/>
        <v>16:1:Ahead</v>
      </c>
      <c r="BD348" s="554" t="str">
        <f t="shared" si="481"/>
        <v>Broken Wire (# Broken Subconductors)</v>
      </c>
      <c r="BE348" s="552">
        <f t="shared" si="482"/>
        <v>4</v>
      </c>
      <c r="BF348" s="554" t="str">
        <f t="shared" si="510"/>
        <v>8:1:Ahead</v>
      </c>
      <c r="BG348" s="554" t="str">
        <f t="shared" si="483"/>
        <v>Broken Wire (# Broken Subconductors)</v>
      </c>
      <c r="BH348" s="552">
        <f t="shared" si="484"/>
        <v>4</v>
      </c>
      <c r="BI348" s="554" t="str">
        <f t="shared" si="485"/>
        <v>18:1:Ahead</v>
      </c>
      <c r="BJ348" s="554" t="str">
        <f t="shared" si="486"/>
        <v>Broken Wire (# Broken Subconductors)</v>
      </c>
      <c r="BK348" s="552">
        <f t="shared" si="487"/>
        <v>4</v>
      </c>
      <c r="BL348" s="554" t="str">
        <f t="shared" si="488"/>
        <v/>
      </c>
      <c r="BM348" s="554" t="str">
        <f t="shared" si="489"/>
        <v/>
      </c>
      <c r="BN348" s="552" t="str">
        <f t="shared" si="490"/>
        <v/>
      </c>
      <c r="BO348" s="554" t="str">
        <f t="shared" si="491"/>
        <v/>
      </c>
      <c r="BP348" s="554" t="str">
        <f t="shared" si="492"/>
        <v/>
      </c>
      <c r="BQ348" s="552" t="str">
        <f t="shared" si="493"/>
        <v/>
      </c>
      <c r="BR348" s="554"/>
      <c r="BS348" s="554"/>
      <c r="BT348" s="554"/>
      <c r="BU348" s="554"/>
      <c r="BV348" s="554"/>
      <c r="BW348" s="554"/>
      <c r="BX348" s="554"/>
      <c r="BY348" s="554"/>
      <c r="BZ348" s="554"/>
      <c r="CA348" s="554"/>
      <c r="CB348" s="554"/>
      <c r="CC348" s="554"/>
      <c r="CD348" s="554"/>
      <c r="CE348" s="554"/>
      <c r="CF348" s="554"/>
      <c r="CG348" s="554"/>
      <c r="CH348" s="554"/>
      <c r="CI348" s="554"/>
      <c r="CJ348" s="554"/>
      <c r="CK348" s="554"/>
      <c r="CL348" s="554"/>
      <c r="CM348" s="554"/>
      <c r="CN348" s="554"/>
      <c r="CO348" s="554"/>
      <c r="CP348" s="554"/>
      <c r="CQ348" s="554"/>
      <c r="CR348" s="554"/>
      <c r="CS348" s="554"/>
      <c r="CT348" s="554"/>
      <c r="CU348" s="554"/>
      <c r="CV348" s="554"/>
      <c r="CW348" s="554"/>
      <c r="CX348" s="554"/>
      <c r="CY348" s="554"/>
      <c r="CZ348" s="554"/>
      <c r="DA348" s="554"/>
      <c r="DB348" s="554"/>
      <c r="DC348" s="554"/>
      <c r="DD348" s="554"/>
      <c r="DE348" s="534"/>
      <c r="DF348" s="534"/>
      <c r="DG348" s="534"/>
    </row>
    <row r="349" spans="1:111" ht="15" x14ac:dyDescent="0.25">
      <c r="A349" s="549">
        <f>IFERROR(IF(INDEX('Weather Cases'!$E$10:$E$94,MATCH('Load Criteria'!X349,'Weather Cases'!$H$10:$H$94,0),1)=1,1,"-"),"-")</f>
        <v>1</v>
      </c>
      <c r="B349" s="555" t="s">
        <v>558</v>
      </c>
      <c r="C349" s="556" t="str">
        <f>IF('Weather Cases'!$E$44=0,"","DC")</f>
        <v>DC</v>
      </c>
      <c r="D349" s="555" t="s">
        <v>579</v>
      </c>
      <c r="E349" s="556">
        <v>2</v>
      </c>
      <c r="F349" s="556" t="s">
        <v>22</v>
      </c>
      <c r="G349" s="556" t="str">
        <f>IFERROR(IF(MID('Load Criteria'!X349,FIND("_",'Load Criteria'!X349,1)+1,1)=LEFT(Control!$D$23,1),"YES","-"),"-")</f>
        <v>-</v>
      </c>
      <c r="H349" s="549" t="s">
        <v>22</v>
      </c>
      <c r="I349" s="557" t="s">
        <v>331</v>
      </c>
      <c r="J349" s="550">
        <f>Control!$D$25</f>
        <v>1</v>
      </c>
      <c r="K349" s="508" t="s">
        <v>571</v>
      </c>
      <c r="L349" s="508" t="s">
        <v>40</v>
      </c>
      <c r="M349" s="550">
        <v>1</v>
      </c>
      <c r="N349" s="550">
        <v>2</v>
      </c>
      <c r="O349" s="550"/>
      <c r="P349" s="392"/>
      <c r="Q349" s="392"/>
      <c r="R349" s="392"/>
      <c r="S349" s="392"/>
      <c r="T349" s="392"/>
      <c r="U349" s="255" t="s">
        <v>574</v>
      </c>
      <c r="V349" s="551"/>
      <c r="W349" s="542" t="str">
        <f t="shared" si="494"/>
        <v>RS0001_8+TB12 NA-</v>
      </c>
      <c r="X349" s="552" t="str">
        <f>I349&amp;TEXT(J349,"0000")&amp;"_"&amp;LEFT(Control!$D$22,LEN(Control!$D$22)-2)</f>
        <v>RS0001_8</v>
      </c>
      <c r="Y349" s="552" t="s">
        <v>433</v>
      </c>
      <c r="Z349" s="552" t="str">
        <f t="shared" si="476"/>
        <v>NA-</v>
      </c>
      <c r="AA349" s="552"/>
      <c r="AB349" s="552">
        <v>1</v>
      </c>
      <c r="AC349" s="552">
        <v>1</v>
      </c>
      <c r="AD349" s="552">
        <v>1</v>
      </c>
      <c r="AE349" s="552">
        <v>1</v>
      </c>
      <c r="AF349" s="552">
        <v>1</v>
      </c>
      <c r="AG349" s="542" t="s">
        <v>561</v>
      </c>
      <c r="AH349" s="552">
        <v>0</v>
      </c>
      <c r="AI349" s="552">
        <v>0</v>
      </c>
      <c r="AJ349" s="552">
        <v>1</v>
      </c>
      <c r="AK349" s="552">
        <v>1</v>
      </c>
      <c r="AL349" s="552">
        <v>1</v>
      </c>
      <c r="AM349" s="552">
        <v>0</v>
      </c>
      <c r="AN349" s="552">
        <v>0</v>
      </c>
      <c r="AO349" s="552">
        <v>1</v>
      </c>
      <c r="AP349" s="552">
        <v>1</v>
      </c>
      <c r="AQ349" s="552">
        <v>1</v>
      </c>
      <c r="AR349" s="552">
        <v>1</v>
      </c>
      <c r="AS349" s="552">
        <v>1</v>
      </c>
      <c r="AT349" s="552">
        <v>1</v>
      </c>
      <c r="AU349" s="552">
        <v>1</v>
      </c>
      <c r="AV349" s="553" t="str">
        <f>IF(H349="YES",IF($AV$2="Y","'"&amp;INDEX('Structure Groups'!$C$12:$C$14,MATCH($B$5,'Structure Groups'!$B$12:$B$14,0),1)&amp;"'","'"&amp;INDEX('Structure Groups'!$C$16:$C$18,MATCH($B$5,'Structure Groups'!$B$16:$B$18,0),1)&amp;"'"),IF($AV$2="Y","'All'","'Stop'"))</f>
        <v>'Stop'</v>
      </c>
      <c r="AW349" s="552" t="s">
        <v>562</v>
      </c>
      <c r="AX349" s="552"/>
      <c r="AY349" s="552" t="str">
        <f t="shared" si="526"/>
        <v>Yes</v>
      </c>
      <c r="AZ349" s="554" t="str">
        <f t="shared" si="477"/>
        <v>1:1:Back</v>
      </c>
      <c r="BA349" s="554" t="str">
        <f t="shared" si="478"/>
        <v>Broken Wire (# Broken Subconductors)</v>
      </c>
      <c r="BB349" s="552">
        <f t="shared" si="479"/>
        <v>4</v>
      </c>
      <c r="BC349" s="554" t="str">
        <f t="shared" si="480"/>
        <v>11:1:Back</v>
      </c>
      <c r="BD349" s="554" t="str">
        <f t="shared" si="481"/>
        <v>Broken Wire (# Broken Subconductors)</v>
      </c>
      <c r="BE349" s="552">
        <f t="shared" si="482"/>
        <v>4</v>
      </c>
      <c r="BF349" s="554" t="str">
        <f t="shared" si="510"/>
        <v>2:1:Back</v>
      </c>
      <c r="BG349" s="554" t="str">
        <f t="shared" si="483"/>
        <v>Broken Wire (# Broken Subconductors)</v>
      </c>
      <c r="BH349" s="552">
        <f t="shared" si="484"/>
        <v>4</v>
      </c>
      <c r="BI349" s="554" t="str">
        <f t="shared" si="485"/>
        <v>12:1:Back</v>
      </c>
      <c r="BJ349" s="554" t="str">
        <f t="shared" si="486"/>
        <v>Broken Wire (# Broken Subconductors)</v>
      </c>
      <c r="BK349" s="552">
        <f t="shared" si="487"/>
        <v>4</v>
      </c>
      <c r="BL349" s="554" t="str">
        <f t="shared" si="488"/>
        <v/>
      </c>
      <c r="BM349" s="554" t="str">
        <f t="shared" si="489"/>
        <v/>
      </c>
      <c r="BN349" s="552" t="str">
        <f t="shared" si="490"/>
        <v/>
      </c>
      <c r="BO349" s="554" t="str">
        <f t="shared" si="491"/>
        <v/>
      </c>
      <c r="BP349" s="554" t="str">
        <f t="shared" si="492"/>
        <v/>
      </c>
      <c r="BQ349" s="552" t="str">
        <f t="shared" si="493"/>
        <v/>
      </c>
      <c r="BR349" s="554"/>
      <c r="BS349" s="554"/>
      <c r="BT349" s="554"/>
      <c r="BU349" s="554"/>
      <c r="BV349" s="554"/>
      <c r="BW349" s="554"/>
      <c r="BX349" s="554"/>
      <c r="BY349" s="554"/>
      <c r="BZ349" s="554"/>
      <c r="CA349" s="554"/>
      <c r="CB349" s="554"/>
      <c r="CC349" s="554"/>
      <c r="CD349" s="554"/>
      <c r="CE349" s="554"/>
      <c r="CF349" s="554"/>
      <c r="CG349" s="554"/>
      <c r="CH349" s="554"/>
      <c r="CI349" s="554"/>
      <c r="CJ349" s="554"/>
      <c r="CK349" s="554"/>
      <c r="CL349" s="554"/>
      <c r="CM349" s="554"/>
      <c r="CN349" s="554"/>
      <c r="CO349" s="554"/>
      <c r="CP349" s="554"/>
      <c r="CQ349" s="554"/>
      <c r="CR349" s="554"/>
      <c r="CS349" s="554"/>
      <c r="CT349" s="554"/>
      <c r="CU349" s="554"/>
      <c r="CV349" s="554"/>
      <c r="CW349" s="554"/>
      <c r="CX349" s="554"/>
      <c r="CY349" s="554"/>
      <c r="CZ349" s="554"/>
      <c r="DA349" s="554"/>
      <c r="DB349" s="554"/>
      <c r="DC349" s="554"/>
      <c r="DD349" s="554"/>
      <c r="DE349" s="534"/>
      <c r="DF349" s="534"/>
      <c r="DG349" s="534"/>
    </row>
    <row r="350" spans="1:111" ht="15" x14ac:dyDescent="0.25">
      <c r="A350" s="549">
        <f>IFERROR(IF(INDEX('Weather Cases'!$E$10:$E$94,MATCH('Load Criteria'!X350,'Weather Cases'!$H$10:$H$94,0),1)=1,1,"-"),"-")</f>
        <v>1</v>
      </c>
      <c r="B350" s="555" t="s">
        <v>558</v>
      </c>
      <c r="C350" s="556" t="str">
        <f>IF('Weather Cases'!$E$44=0,"","DC")</f>
        <v>DC</v>
      </c>
      <c r="D350" s="555" t="s">
        <v>579</v>
      </c>
      <c r="E350" s="556">
        <v>2</v>
      </c>
      <c r="F350" s="556" t="s">
        <v>22</v>
      </c>
      <c r="G350" s="556" t="str">
        <f>IFERROR(IF(MID('Load Criteria'!X350,FIND("_",'Load Criteria'!X350,1)+1,1)=LEFT(Control!$D$23,1),"YES","-"),"-")</f>
        <v>-</v>
      </c>
      <c r="H350" s="549" t="s">
        <v>22</v>
      </c>
      <c r="I350" s="557" t="s">
        <v>331</v>
      </c>
      <c r="J350" s="550">
        <f>Control!$D$25</f>
        <v>1</v>
      </c>
      <c r="K350" s="508" t="s">
        <v>571</v>
      </c>
      <c r="L350" s="508" t="s">
        <v>40</v>
      </c>
      <c r="M350" s="550">
        <v>2</v>
      </c>
      <c r="N350" s="550">
        <v>3</v>
      </c>
      <c r="O350" s="550"/>
      <c r="P350" s="392"/>
      <c r="Q350" s="392"/>
      <c r="R350" s="392"/>
      <c r="S350" s="392"/>
      <c r="T350" s="392"/>
      <c r="U350" s="255" t="s">
        <v>574</v>
      </c>
      <c r="V350" s="551"/>
      <c r="W350" s="542" t="str">
        <f t="shared" si="494"/>
        <v>RS0001_8+TB23 NA-</v>
      </c>
      <c r="X350" s="552" t="str">
        <f>I350&amp;TEXT(J350,"0000")&amp;"_"&amp;LEFT(Control!$D$22,LEN(Control!$D$22)-2)</f>
        <v>RS0001_8</v>
      </c>
      <c r="Y350" s="552" t="s">
        <v>433</v>
      </c>
      <c r="Z350" s="552" t="str">
        <f t="shared" si="476"/>
        <v>NA-</v>
      </c>
      <c r="AA350" s="552"/>
      <c r="AB350" s="552">
        <v>1</v>
      </c>
      <c r="AC350" s="552">
        <v>1</v>
      </c>
      <c r="AD350" s="552">
        <v>1</v>
      </c>
      <c r="AE350" s="552">
        <v>1</v>
      </c>
      <c r="AF350" s="552">
        <v>1</v>
      </c>
      <c r="AG350" s="542" t="s">
        <v>561</v>
      </c>
      <c r="AH350" s="552">
        <v>0</v>
      </c>
      <c r="AI350" s="552">
        <v>0</v>
      </c>
      <c r="AJ350" s="552">
        <v>1</v>
      </c>
      <c r="AK350" s="552">
        <v>1</v>
      </c>
      <c r="AL350" s="552">
        <v>1</v>
      </c>
      <c r="AM350" s="552">
        <v>0</v>
      </c>
      <c r="AN350" s="552">
        <v>0</v>
      </c>
      <c r="AO350" s="552">
        <v>1</v>
      </c>
      <c r="AP350" s="552">
        <v>1</v>
      </c>
      <c r="AQ350" s="552">
        <v>1</v>
      </c>
      <c r="AR350" s="552">
        <v>1</v>
      </c>
      <c r="AS350" s="552">
        <v>1</v>
      </c>
      <c r="AT350" s="552">
        <v>1</v>
      </c>
      <c r="AU350" s="552">
        <v>1</v>
      </c>
      <c r="AV350" s="553" t="str">
        <f>IF(H350="YES",IF($AV$2="Y","'"&amp;INDEX('Structure Groups'!$C$12:$C$14,MATCH($B$5,'Structure Groups'!$B$12:$B$14,0),1)&amp;"'","'"&amp;INDEX('Structure Groups'!$C$16:$C$18,MATCH($B$5,'Structure Groups'!$B$16:$B$18,0),1)&amp;"'"),IF($AV$2="Y","'All'","'Stop'"))</f>
        <v>'Stop'</v>
      </c>
      <c r="AW350" s="552" t="s">
        <v>562</v>
      </c>
      <c r="AX350" s="552"/>
      <c r="AY350" s="552" t="str">
        <f t="shared" si="526"/>
        <v>Yes</v>
      </c>
      <c r="AZ350" s="554" t="str">
        <f t="shared" si="477"/>
        <v>2:1:Back</v>
      </c>
      <c r="BA350" s="554" t="str">
        <f t="shared" si="478"/>
        <v>Broken Wire (# Broken Subconductors)</v>
      </c>
      <c r="BB350" s="552">
        <f t="shared" si="479"/>
        <v>4</v>
      </c>
      <c r="BC350" s="554" t="str">
        <f t="shared" si="480"/>
        <v>12:1:Back</v>
      </c>
      <c r="BD350" s="554" t="str">
        <f t="shared" si="481"/>
        <v>Broken Wire (# Broken Subconductors)</v>
      </c>
      <c r="BE350" s="552">
        <f t="shared" si="482"/>
        <v>4</v>
      </c>
      <c r="BF350" s="554" t="str">
        <f t="shared" si="510"/>
        <v>3:1:Back</v>
      </c>
      <c r="BG350" s="554" t="str">
        <f t="shared" si="483"/>
        <v>Broken Wire (# Broken Subconductors)</v>
      </c>
      <c r="BH350" s="552">
        <f t="shared" si="484"/>
        <v>4</v>
      </c>
      <c r="BI350" s="554" t="str">
        <f t="shared" si="485"/>
        <v>13:1:Back</v>
      </c>
      <c r="BJ350" s="554" t="str">
        <f t="shared" si="486"/>
        <v>Broken Wire (# Broken Subconductors)</v>
      </c>
      <c r="BK350" s="552">
        <f t="shared" si="487"/>
        <v>4</v>
      </c>
      <c r="BL350" s="554" t="str">
        <f t="shared" si="488"/>
        <v/>
      </c>
      <c r="BM350" s="554" t="str">
        <f t="shared" si="489"/>
        <v/>
      </c>
      <c r="BN350" s="552" t="str">
        <f t="shared" si="490"/>
        <v/>
      </c>
      <c r="BO350" s="554" t="str">
        <f t="shared" si="491"/>
        <v/>
      </c>
      <c r="BP350" s="554" t="str">
        <f t="shared" si="492"/>
        <v/>
      </c>
      <c r="BQ350" s="552" t="str">
        <f t="shared" si="493"/>
        <v/>
      </c>
      <c r="BR350" s="554"/>
      <c r="BS350" s="554"/>
      <c r="BT350" s="554"/>
      <c r="BU350" s="554"/>
      <c r="BV350" s="554"/>
      <c r="BW350" s="554"/>
      <c r="BX350" s="554"/>
      <c r="BY350" s="554"/>
      <c r="BZ350" s="554"/>
      <c r="CA350" s="554"/>
      <c r="CB350" s="554"/>
      <c r="CC350" s="554"/>
      <c r="CD350" s="554"/>
      <c r="CE350" s="554"/>
      <c r="CF350" s="554"/>
      <c r="CG350" s="554"/>
      <c r="CH350" s="554"/>
      <c r="CI350" s="554"/>
      <c r="CJ350" s="554"/>
      <c r="CK350" s="554"/>
      <c r="CL350" s="554"/>
      <c r="CM350" s="554"/>
      <c r="CN350" s="554"/>
      <c r="CO350" s="554"/>
      <c r="CP350" s="554"/>
      <c r="CQ350" s="554"/>
      <c r="CR350" s="554"/>
      <c r="CS350" s="554"/>
      <c r="CT350" s="554"/>
      <c r="CU350" s="554"/>
      <c r="CV350" s="554"/>
      <c r="CW350" s="554"/>
      <c r="CX350" s="554"/>
      <c r="CY350" s="554"/>
      <c r="CZ350" s="554"/>
      <c r="DA350" s="554"/>
      <c r="DB350" s="554"/>
      <c r="DC350" s="554"/>
      <c r="DD350" s="554"/>
      <c r="DE350" s="534"/>
      <c r="DF350" s="534"/>
      <c r="DG350" s="534"/>
    </row>
    <row r="351" spans="1:111" ht="15" x14ac:dyDescent="0.25">
      <c r="A351" s="549">
        <f>IFERROR(IF(INDEX('Weather Cases'!$E$10:$E$94,MATCH('Load Criteria'!X351,'Weather Cases'!$H$10:$H$94,0),1)=1,1,"-"),"-")</f>
        <v>1</v>
      </c>
      <c r="B351" s="555" t="s">
        <v>558</v>
      </c>
      <c r="C351" s="556" t="str">
        <f>IF('Weather Cases'!$E$44=0,"","DC")</f>
        <v>DC</v>
      </c>
      <c r="D351" s="555" t="s">
        <v>579</v>
      </c>
      <c r="E351" s="556">
        <v>2</v>
      </c>
      <c r="F351" s="556" t="s">
        <v>22</v>
      </c>
      <c r="G351" s="556" t="str">
        <f>IFERROR(IF(MID('Load Criteria'!X351,FIND("_",'Load Criteria'!X351,1)+1,1)=LEFT(Control!$D$23,1),"YES","-"),"-")</f>
        <v>-</v>
      </c>
      <c r="H351" s="549" t="s">
        <v>22</v>
      </c>
      <c r="I351" s="557" t="s">
        <v>331</v>
      </c>
      <c r="J351" s="550">
        <f>Control!$D$25</f>
        <v>1</v>
      </c>
      <c r="K351" s="508" t="s">
        <v>571</v>
      </c>
      <c r="L351" s="508" t="s">
        <v>40</v>
      </c>
      <c r="M351" s="550">
        <v>1</v>
      </c>
      <c r="N351" s="550">
        <v>3</v>
      </c>
      <c r="O351" s="550"/>
      <c r="P351" s="392"/>
      <c r="Q351" s="392"/>
      <c r="R351" s="392"/>
      <c r="S351" s="392"/>
      <c r="T351" s="392"/>
      <c r="U351" s="255" t="s">
        <v>574</v>
      </c>
      <c r="V351" s="551"/>
      <c r="W351" s="542" t="str">
        <f t="shared" si="494"/>
        <v>RS0001_8+TB13 NA-</v>
      </c>
      <c r="X351" s="552" t="str">
        <f>I351&amp;TEXT(J351,"0000")&amp;"_"&amp;LEFT(Control!$D$22,LEN(Control!$D$22)-2)</f>
        <v>RS0001_8</v>
      </c>
      <c r="Y351" s="552" t="s">
        <v>433</v>
      </c>
      <c r="Z351" s="552" t="str">
        <f t="shared" si="476"/>
        <v>NA-</v>
      </c>
      <c r="AA351" s="552"/>
      <c r="AB351" s="552">
        <v>1</v>
      </c>
      <c r="AC351" s="552">
        <v>1</v>
      </c>
      <c r="AD351" s="552">
        <v>1</v>
      </c>
      <c r="AE351" s="552">
        <v>1</v>
      </c>
      <c r="AF351" s="552">
        <v>1</v>
      </c>
      <c r="AG351" s="542" t="s">
        <v>561</v>
      </c>
      <c r="AH351" s="552">
        <v>0</v>
      </c>
      <c r="AI351" s="552">
        <v>0</v>
      </c>
      <c r="AJ351" s="552">
        <v>1</v>
      </c>
      <c r="AK351" s="552">
        <v>1</v>
      </c>
      <c r="AL351" s="552">
        <v>1</v>
      </c>
      <c r="AM351" s="552">
        <v>0</v>
      </c>
      <c r="AN351" s="552">
        <v>0</v>
      </c>
      <c r="AO351" s="552">
        <v>1</v>
      </c>
      <c r="AP351" s="552">
        <v>1</v>
      </c>
      <c r="AQ351" s="552">
        <v>1</v>
      </c>
      <c r="AR351" s="552">
        <v>1</v>
      </c>
      <c r="AS351" s="552">
        <v>1</v>
      </c>
      <c r="AT351" s="552">
        <v>1</v>
      </c>
      <c r="AU351" s="552">
        <v>1</v>
      </c>
      <c r="AV351" s="553" t="str">
        <f>IF(H351="YES",IF($AV$2="Y","'"&amp;INDEX('Structure Groups'!$C$12:$C$14,MATCH($B$5,'Structure Groups'!$B$12:$B$14,0),1)&amp;"'","'"&amp;INDEX('Structure Groups'!$C$16:$C$18,MATCH($B$5,'Structure Groups'!$B$16:$B$18,0),1)&amp;"'"),IF($AV$2="Y","'All'","'Stop'"))</f>
        <v>'Stop'</v>
      </c>
      <c r="AW351" s="552" t="s">
        <v>562</v>
      </c>
      <c r="AX351" s="552"/>
      <c r="AY351" s="552" t="str">
        <f t="shared" si="526"/>
        <v>Yes</v>
      </c>
      <c r="AZ351" s="554" t="str">
        <f t="shared" si="477"/>
        <v>1:1:Back</v>
      </c>
      <c r="BA351" s="554" t="str">
        <f t="shared" si="478"/>
        <v>Broken Wire (# Broken Subconductors)</v>
      </c>
      <c r="BB351" s="552">
        <f t="shared" si="479"/>
        <v>4</v>
      </c>
      <c r="BC351" s="554" t="str">
        <f t="shared" si="480"/>
        <v>11:1:Back</v>
      </c>
      <c r="BD351" s="554" t="str">
        <f t="shared" si="481"/>
        <v>Broken Wire (# Broken Subconductors)</v>
      </c>
      <c r="BE351" s="552">
        <f t="shared" si="482"/>
        <v>4</v>
      </c>
      <c r="BF351" s="554" t="str">
        <f t="shared" si="510"/>
        <v>3:1:Back</v>
      </c>
      <c r="BG351" s="554" t="str">
        <f t="shared" si="483"/>
        <v>Broken Wire (# Broken Subconductors)</v>
      </c>
      <c r="BH351" s="552">
        <f t="shared" si="484"/>
        <v>4</v>
      </c>
      <c r="BI351" s="554" t="str">
        <f t="shared" si="485"/>
        <v>13:1:Back</v>
      </c>
      <c r="BJ351" s="554" t="str">
        <f t="shared" si="486"/>
        <v>Broken Wire (# Broken Subconductors)</v>
      </c>
      <c r="BK351" s="552">
        <f t="shared" si="487"/>
        <v>4</v>
      </c>
      <c r="BL351" s="554" t="str">
        <f t="shared" si="488"/>
        <v/>
      </c>
      <c r="BM351" s="554" t="str">
        <f t="shared" si="489"/>
        <v/>
      </c>
      <c r="BN351" s="552" t="str">
        <f t="shared" si="490"/>
        <v/>
      </c>
      <c r="BO351" s="554" t="str">
        <f t="shared" si="491"/>
        <v/>
      </c>
      <c r="BP351" s="554" t="str">
        <f t="shared" si="492"/>
        <v/>
      </c>
      <c r="BQ351" s="552" t="str">
        <f t="shared" si="493"/>
        <v/>
      </c>
      <c r="BR351" s="554"/>
      <c r="BS351" s="554"/>
      <c r="BT351" s="554"/>
      <c r="BU351" s="554"/>
      <c r="BV351" s="554"/>
      <c r="BW351" s="554"/>
      <c r="BX351" s="554"/>
      <c r="BY351" s="554"/>
      <c r="BZ351" s="554"/>
      <c r="CA351" s="554"/>
      <c r="CB351" s="554"/>
      <c r="CC351" s="554"/>
      <c r="CD351" s="554"/>
      <c r="CE351" s="554"/>
      <c r="CF351" s="554"/>
      <c r="CG351" s="554"/>
      <c r="CH351" s="554"/>
      <c r="CI351" s="554"/>
      <c r="CJ351" s="554"/>
      <c r="CK351" s="554"/>
      <c r="CL351" s="554"/>
      <c r="CM351" s="554"/>
      <c r="CN351" s="554"/>
      <c r="CO351" s="554"/>
      <c r="CP351" s="554"/>
      <c r="CQ351" s="554"/>
      <c r="CR351" s="554"/>
      <c r="CS351" s="554"/>
      <c r="CT351" s="554"/>
      <c r="CU351" s="554"/>
      <c r="CV351" s="554"/>
      <c r="CW351" s="554"/>
      <c r="CX351" s="554"/>
      <c r="CY351" s="554"/>
      <c r="CZ351" s="554"/>
      <c r="DA351" s="554"/>
      <c r="DB351" s="554"/>
      <c r="DC351" s="554"/>
      <c r="DD351" s="554"/>
      <c r="DE351" s="534"/>
      <c r="DF351" s="534"/>
      <c r="DG351" s="534"/>
    </row>
    <row r="352" spans="1:111" ht="15" x14ac:dyDescent="0.25">
      <c r="A352" s="549">
        <f>IFERROR(IF(INDEX('Weather Cases'!$E$10:$E$94,MATCH('Load Criteria'!X352,'Weather Cases'!$H$10:$H$94,0),1)=1,1,"-"),"-")</f>
        <v>1</v>
      </c>
      <c r="B352" s="555" t="s">
        <v>558</v>
      </c>
      <c r="C352" s="556" t="str">
        <f>IF('Weather Cases'!$E$44=0,"","DC")</f>
        <v>DC</v>
      </c>
      <c r="D352" s="555" t="s">
        <v>579</v>
      </c>
      <c r="E352" s="556">
        <v>2</v>
      </c>
      <c r="F352" s="555" t="s">
        <v>580</v>
      </c>
      <c r="G352" s="556" t="str">
        <f>IFERROR(IF(MID('Load Criteria'!X352,FIND("_",'Load Criteria'!X352,1)+1,1)=LEFT(Control!$D$23,1),"YES","-"),"-")</f>
        <v>-</v>
      </c>
      <c r="H352" s="549" t="s">
        <v>22</v>
      </c>
      <c r="I352" s="557" t="s">
        <v>331</v>
      </c>
      <c r="J352" s="550">
        <f>Control!$D$25</f>
        <v>1</v>
      </c>
      <c r="K352" s="508" t="s">
        <v>571</v>
      </c>
      <c r="L352" s="508" t="s">
        <v>40</v>
      </c>
      <c r="M352" s="550">
        <v>3</v>
      </c>
      <c r="N352" s="550">
        <v>7</v>
      </c>
      <c r="O352" s="550"/>
      <c r="P352" s="392"/>
      <c r="Q352" s="392"/>
      <c r="R352" s="392"/>
      <c r="S352" s="392"/>
      <c r="T352" s="392"/>
      <c r="U352" s="255" t="s">
        <v>574</v>
      </c>
      <c r="V352" s="551"/>
      <c r="W352" s="542" t="str">
        <f t="shared" si="494"/>
        <v>RS0001_8+TB37 NA-</v>
      </c>
      <c r="X352" s="552" t="str">
        <f>I352&amp;TEXT(J352,"0000")&amp;"_"&amp;LEFT(Control!$D$22,LEN(Control!$D$22)-2)</f>
        <v>RS0001_8</v>
      </c>
      <c r="Y352" s="552" t="s">
        <v>433</v>
      </c>
      <c r="Z352" s="552" t="str">
        <f t="shared" si="476"/>
        <v>NA-</v>
      </c>
      <c r="AA352" s="552"/>
      <c r="AB352" s="552">
        <v>1</v>
      </c>
      <c r="AC352" s="552">
        <v>1</v>
      </c>
      <c r="AD352" s="552">
        <v>1</v>
      </c>
      <c r="AE352" s="552">
        <v>1</v>
      </c>
      <c r="AF352" s="552">
        <v>1</v>
      </c>
      <c r="AG352" s="542" t="s">
        <v>561</v>
      </c>
      <c r="AH352" s="552">
        <v>0</v>
      </c>
      <c r="AI352" s="552">
        <v>0</v>
      </c>
      <c r="AJ352" s="552">
        <v>1</v>
      </c>
      <c r="AK352" s="552">
        <v>1</v>
      </c>
      <c r="AL352" s="552">
        <v>1</v>
      </c>
      <c r="AM352" s="552">
        <v>0</v>
      </c>
      <c r="AN352" s="552">
        <v>0</v>
      </c>
      <c r="AO352" s="552">
        <v>1</v>
      </c>
      <c r="AP352" s="552">
        <v>1</v>
      </c>
      <c r="AQ352" s="552">
        <v>1</v>
      </c>
      <c r="AR352" s="552">
        <v>1</v>
      </c>
      <c r="AS352" s="552">
        <v>1</v>
      </c>
      <c r="AT352" s="552">
        <v>1</v>
      </c>
      <c r="AU352" s="552">
        <v>1</v>
      </c>
      <c r="AV352" s="553" t="str">
        <f>IF(H352="YES",IF($AV$2="Y","'"&amp;INDEX('Structure Groups'!$C$12:$C$14,MATCH($B$5,'Structure Groups'!$B$12:$B$14,0),1)&amp;"'","'"&amp;INDEX('Structure Groups'!$C$16:$C$18,MATCH($B$5,'Structure Groups'!$B$16:$B$18,0),1)&amp;"'"),IF($AV$2="Y","'All'","'Stop'"))</f>
        <v>'Stop'</v>
      </c>
      <c r="AW352" s="552" t="s">
        <v>562</v>
      </c>
      <c r="AX352" s="552"/>
      <c r="AY352" s="552" t="str">
        <f t="shared" si="526"/>
        <v>Yes</v>
      </c>
      <c r="AZ352" s="554" t="str">
        <f t="shared" si="477"/>
        <v>3:1:Back</v>
      </c>
      <c r="BA352" s="554" t="str">
        <f t="shared" si="478"/>
        <v>Broken Wire (# Broken Subconductors)</v>
      </c>
      <c r="BB352" s="552">
        <f t="shared" si="479"/>
        <v>4</v>
      </c>
      <c r="BC352" s="554" t="str">
        <f t="shared" si="480"/>
        <v>13:1:Back</v>
      </c>
      <c r="BD352" s="554" t="str">
        <f t="shared" si="481"/>
        <v>Broken Wire (# Broken Subconductors)</v>
      </c>
      <c r="BE352" s="552">
        <f t="shared" si="482"/>
        <v>4</v>
      </c>
      <c r="BF352" s="554" t="str">
        <f t="shared" si="510"/>
        <v>7:1:Back</v>
      </c>
      <c r="BG352" s="554" t="str">
        <f t="shared" si="483"/>
        <v>Broken Wire (# Broken Subconductors)</v>
      </c>
      <c r="BH352" s="552">
        <f t="shared" si="484"/>
        <v>4</v>
      </c>
      <c r="BI352" s="554" t="str">
        <f t="shared" si="485"/>
        <v>17:1:Back</v>
      </c>
      <c r="BJ352" s="554" t="str">
        <f t="shared" si="486"/>
        <v>Broken Wire (# Broken Subconductors)</v>
      </c>
      <c r="BK352" s="552">
        <f t="shared" si="487"/>
        <v>4</v>
      </c>
      <c r="BL352" s="554" t="str">
        <f t="shared" si="488"/>
        <v/>
      </c>
      <c r="BM352" s="554" t="str">
        <f t="shared" si="489"/>
        <v/>
      </c>
      <c r="BN352" s="552" t="str">
        <f t="shared" si="490"/>
        <v/>
      </c>
      <c r="BO352" s="554" t="str">
        <f t="shared" si="491"/>
        <v/>
      </c>
      <c r="BP352" s="554" t="str">
        <f t="shared" si="492"/>
        <v/>
      </c>
      <c r="BQ352" s="552" t="str">
        <f t="shared" si="493"/>
        <v/>
      </c>
      <c r="BR352" s="554"/>
      <c r="BS352" s="554"/>
      <c r="BT352" s="554"/>
      <c r="BU352" s="554"/>
      <c r="BV352" s="554"/>
      <c r="BW352" s="554"/>
      <c r="BX352" s="554"/>
      <c r="BY352" s="554"/>
      <c r="BZ352" s="554"/>
      <c r="CA352" s="554"/>
      <c r="CB352" s="554"/>
      <c r="CC352" s="554"/>
      <c r="CD352" s="554"/>
      <c r="CE352" s="554"/>
      <c r="CF352" s="554"/>
      <c r="CG352" s="554"/>
      <c r="CH352" s="554"/>
      <c r="CI352" s="554"/>
      <c r="CJ352" s="554"/>
      <c r="CK352" s="554"/>
      <c r="CL352" s="554"/>
      <c r="CM352" s="554"/>
      <c r="CN352" s="554"/>
      <c r="CO352" s="554"/>
      <c r="CP352" s="554"/>
      <c r="CQ352" s="554"/>
      <c r="CR352" s="554"/>
      <c r="CS352" s="554"/>
      <c r="CT352" s="554"/>
      <c r="CU352" s="554"/>
      <c r="CV352" s="554"/>
      <c r="CW352" s="554"/>
      <c r="CX352" s="554"/>
      <c r="CY352" s="554"/>
      <c r="CZ352" s="554"/>
      <c r="DA352" s="554"/>
      <c r="DB352" s="554"/>
      <c r="DC352" s="554"/>
      <c r="DD352" s="554"/>
      <c r="DE352" s="534"/>
      <c r="DF352" s="534"/>
      <c r="DG352" s="534"/>
    </row>
    <row r="353" spans="1:111" ht="15" x14ac:dyDescent="0.25">
      <c r="A353" s="549">
        <f>IFERROR(IF(INDEX('Weather Cases'!$E$10:$E$94,MATCH('Load Criteria'!X353,'Weather Cases'!$H$10:$H$94,0),1)=1,1,"-"),"-")</f>
        <v>1</v>
      </c>
      <c r="B353" s="555" t="s">
        <v>558</v>
      </c>
      <c r="C353" s="556" t="str">
        <f>IF('Weather Cases'!$E$44=0,"","DC")</f>
        <v>DC</v>
      </c>
      <c r="D353" s="555" t="s">
        <v>579</v>
      </c>
      <c r="E353" s="556">
        <v>2</v>
      </c>
      <c r="F353" s="556" t="s">
        <v>22</v>
      </c>
      <c r="G353" s="556" t="str">
        <f>IFERROR(IF(MID('Load Criteria'!X353,FIND("_",'Load Criteria'!X353,1)+1,1)=LEFT(Control!$D$23,1),"YES","-"),"-")</f>
        <v>-</v>
      </c>
      <c r="H353" s="549" t="s">
        <v>22</v>
      </c>
      <c r="I353" s="557" t="s">
        <v>331</v>
      </c>
      <c r="J353" s="550">
        <f>Control!$D$25</f>
        <v>1</v>
      </c>
      <c r="K353" s="508" t="s">
        <v>571</v>
      </c>
      <c r="L353" s="508" t="s">
        <v>40</v>
      </c>
      <c r="M353" s="550">
        <v>4</v>
      </c>
      <c r="N353" s="550">
        <v>5</v>
      </c>
      <c r="O353" s="550"/>
      <c r="P353" s="392"/>
      <c r="Q353" s="392"/>
      <c r="R353" s="392"/>
      <c r="S353" s="392"/>
      <c r="T353" s="392"/>
      <c r="U353" s="255" t="s">
        <v>574</v>
      </c>
      <c r="V353" s="551"/>
      <c r="W353" s="542" t="str">
        <f t="shared" si="494"/>
        <v>RS0001_8+TB45 NA-</v>
      </c>
      <c r="X353" s="552" t="str">
        <f>I353&amp;TEXT(J353,"0000")&amp;"_"&amp;LEFT(Control!$D$22,LEN(Control!$D$22)-2)</f>
        <v>RS0001_8</v>
      </c>
      <c r="Y353" s="552" t="s">
        <v>433</v>
      </c>
      <c r="Z353" s="552" t="str">
        <f t="shared" si="476"/>
        <v>NA-</v>
      </c>
      <c r="AA353" s="552"/>
      <c r="AB353" s="552">
        <v>1</v>
      </c>
      <c r="AC353" s="552">
        <v>1</v>
      </c>
      <c r="AD353" s="552">
        <v>1</v>
      </c>
      <c r="AE353" s="552">
        <v>1</v>
      </c>
      <c r="AF353" s="552">
        <v>1</v>
      </c>
      <c r="AG353" s="542" t="s">
        <v>561</v>
      </c>
      <c r="AH353" s="552">
        <v>0</v>
      </c>
      <c r="AI353" s="552">
        <v>0</v>
      </c>
      <c r="AJ353" s="552">
        <v>1</v>
      </c>
      <c r="AK353" s="552">
        <v>1</v>
      </c>
      <c r="AL353" s="552">
        <v>1</v>
      </c>
      <c r="AM353" s="552">
        <v>0</v>
      </c>
      <c r="AN353" s="552">
        <v>0</v>
      </c>
      <c r="AO353" s="552">
        <v>1</v>
      </c>
      <c r="AP353" s="552">
        <v>1</v>
      </c>
      <c r="AQ353" s="552">
        <v>1</v>
      </c>
      <c r="AR353" s="552">
        <v>1</v>
      </c>
      <c r="AS353" s="552">
        <v>1</v>
      </c>
      <c r="AT353" s="552">
        <v>1</v>
      </c>
      <c r="AU353" s="552">
        <v>1</v>
      </c>
      <c r="AV353" s="553" t="str">
        <f>IF(H353="YES",IF($AV$2="Y","'"&amp;INDEX('Structure Groups'!$C$12:$C$14,MATCH($B$5,'Structure Groups'!$B$12:$B$14,0),1)&amp;"'","'"&amp;INDEX('Structure Groups'!$C$16:$C$18,MATCH($B$5,'Structure Groups'!$B$16:$B$18,0),1)&amp;"'"),IF($AV$2="Y","'All'","'Stop'"))</f>
        <v>'Stop'</v>
      </c>
      <c r="AW353" s="552" t="s">
        <v>562</v>
      </c>
      <c r="AX353" s="552"/>
      <c r="AY353" s="552" t="str">
        <f t="shared" si="526"/>
        <v>Yes</v>
      </c>
      <c r="AZ353" s="554" t="str">
        <f t="shared" si="477"/>
        <v>4:1:Back</v>
      </c>
      <c r="BA353" s="554" t="str">
        <f t="shared" si="478"/>
        <v>Broken Wire (# Broken Subconductors)</v>
      </c>
      <c r="BB353" s="552">
        <f t="shared" si="479"/>
        <v>4</v>
      </c>
      <c r="BC353" s="554" t="str">
        <f t="shared" si="480"/>
        <v>14:1:Back</v>
      </c>
      <c r="BD353" s="554" t="str">
        <f t="shared" si="481"/>
        <v>Broken Wire (# Broken Subconductors)</v>
      </c>
      <c r="BE353" s="552">
        <f t="shared" si="482"/>
        <v>4</v>
      </c>
      <c r="BF353" s="554" t="str">
        <f t="shared" si="510"/>
        <v>5:1:Back</v>
      </c>
      <c r="BG353" s="554" t="str">
        <f t="shared" si="483"/>
        <v>Broken Wire (# Broken Subconductors)</v>
      </c>
      <c r="BH353" s="552">
        <f t="shared" si="484"/>
        <v>4</v>
      </c>
      <c r="BI353" s="554" t="str">
        <f t="shared" si="485"/>
        <v>15:1:Back</v>
      </c>
      <c r="BJ353" s="554" t="str">
        <f t="shared" si="486"/>
        <v>Broken Wire (# Broken Subconductors)</v>
      </c>
      <c r="BK353" s="552">
        <f t="shared" si="487"/>
        <v>4</v>
      </c>
      <c r="BL353" s="554" t="str">
        <f t="shared" si="488"/>
        <v/>
      </c>
      <c r="BM353" s="554" t="str">
        <f t="shared" si="489"/>
        <v/>
      </c>
      <c r="BN353" s="552" t="str">
        <f t="shared" si="490"/>
        <v/>
      </c>
      <c r="BO353" s="554" t="str">
        <f t="shared" si="491"/>
        <v/>
      </c>
      <c r="BP353" s="554" t="str">
        <f t="shared" si="492"/>
        <v/>
      </c>
      <c r="BQ353" s="552" t="str">
        <f t="shared" si="493"/>
        <v/>
      </c>
      <c r="BR353" s="554"/>
      <c r="BS353" s="554"/>
      <c r="BT353" s="554"/>
      <c r="BU353" s="554"/>
      <c r="BV353" s="554"/>
      <c r="BW353" s="554"/>
      <c r="BX353" s="554"/>
      <c r="BY353" s="554"/>
      <c r="BZ353" s="554"/>
      <c r="CA353" s="554"/>
      <c r="CB353" s="554"/>
      <c r="CC353" s="554"/>
      <c r="CD353" s="554"/>
      <c r="CE353" s="554"/>
      <c r="CF353" s="554"/>
      <c r="CG353" s="554"/>
      <c r="CH353" s="554"/>
      <c r="CI353" s="554"/>
      <c r="CJ353" s="554"/>
      <c r="CK353" s="554"/>
      <c r="CL353" s="554"/>
      <c r="CM353" s="554"/>
      <c r="CN353" s="554"/>
      <c r="CO353" s="554"/>
      <c r="CP353" s="554"/>
      <c r="CQ353" s="554"/>
      <c r="CR353" s="554"/>
      <c r="CS353" s="554"/>
      <c r="CT353" s="554"/>
      <c r="CU353" s="554"/>
      <c r="CV353" s="554"/>
      <c r="CW353" s="554"/>
      <c r="CX353" s="554"/>
      <c r="CY353" s="554"/>
      <c r="CZ353" s="554"/>
      <c r="DA353" s="554"/>
      <c r="DB353" s="554"/>
      <c r="DC353" s="554"/>
      <c r="DD353" s="554"/>
      <c r="DE353" s="534"/>
      <c r="DF353" s="534"/>
      <c r="DG353" s="534"/>
    </row>
    <row r="354" spans="1:111" ht="15" x14ac:dyDescent="0.25">
      <c r="A354" s="549">
        <f>IFERROR(IF(INDEX('Weather Cases'!$E$10:$E$94,MATCH('Load Criteria'!X354,'Weather Cases'!$H$10:$H$94,0),1)=1,1,"-"),"-")</f>
        <v>1</v>
      </c>
      <c r="B354" s="555" t="s">
        <v>558</v>
      </c>
      <c r="C354" s="556" t="str">
        <f>IF('Weather Cases'!$E$44=0,"","DC")</f>
        <v>DC</v>
      </c>
      <c r="D354" s="555" t="s">
        <v>579</v>
      </c>
      <c r="E354" s="556">
        <v>2</v>
      </c>
      <c r="F354" s="556" t="s">
        <v>22</v>
      </c>
      <c r="G354" s="556" t="str">
        <f>IFERROR(IF(MID('Load Criteria'!X354,FIND("_",'Load Criteria'!X354,1)+1,1)=LEFT(Control!$D$23,1),"YES","-"),"-")</f>
        <v>-</v>
      </c>
      <c r="H354" s="549" t="s">
        <v>22</v>
      </c>
      <c r="I354" s="557" t="s">
        <v>331</v>
      </c>
      <c r="J354" s="550">
        <f>Control!$D$25</f>
        <v>1</v>
      </c>
      <c r="K354" s="508" t="s">
        <v>571</v>
      </c>
      <c r="L354" s="508" t="s">
        <v>40</v>
      </c>
      <c r="M354" s="550">
        <v>4</v>
      </c>
      <c r="N354" s="550">
        <v>6</v>
      </c>
      <c r="O354" s="550"/>
      <c r="P354" s="392"/>
      <c r="Q354" s="392"/>
      <c r="R354" s="392"/>
      <c r="S354" s="392"/>
      <c r="T354" s="392"/>
      <c r="U354" s="255" t="s">
        <v>574</v>
      </c>
      <c r="V354" s="551"/>
      <c r="W354" s="542" t="str">
        <f t="shared" si="494"/>
        <v>RS0001_8+TB46 NA-</v>
      </c>
      <c r="X354" s="552" t="str">
        <f>I354&amp;TEXT(J354,"0000")&amp;"_"&amp;LEFT(Control!$D$22,LEN(Control!$D$22)-2)</f>
        <v>RS0001_8</v>
      </c>
      <c r="Y354" s="552" t="s">
        <v>433</v>
      </c>
      <c r="Z354" s="552" t="str">
        <f t="shared" si="476"/>
        <v>NA-</v>
      </c>
      <c r="AA354" s="552"/>
      <c r="AB354" s="552">
        <v>1</v>
      </c>
      <c r="AC354" s="552">
        <v>1</v>
      </c>
      <c r="AD354" s="552">
        <v>1</v>
      </c>
      <c r="AE354" s="552">
        <v>1</v>
      </c>
      <c r="AF354" s="552">
        <v>1</v>
      </c>
      <c r="AG354" s="542" t="s">
        <v>561</v>
      </c>
      <c r="AH354" s="552">
        <v>0</v>
      </c>
      <c r="AI354" s="552">
        <v>0</v>
      </c>
      <c r="AJ354" s="552">
        <v>1</v>
      </c>
      <c r="AK354" s="552">
        <v>1</v>
      </c>
      <c r="AL354" s="552">
        <v>1</v>
      </c>
      <c r="AM354" s="552">
        <v>0</v>
      </c>
      <c r="AN354" s="552">
        <v>0</v>
      </c>
      <c r="AO354" s="552">
        <v>1</v>
      </c>
      <c r="AP354" s="552">
        <v>1</v>
      </c>
      <c r="AQ354" s="552">
        <v>1</v>
      </c>
      <c r="AR354" s="552">
        <v>1</v>
      </c>
      <c r="AS354" s="552">
        <v>1</v>
      </c>
      <c r="AT354" s="552">
        <v>1</v>
      </c>
      <c r="AU354" s="552">
        <v>1</v>
      </c>
      <c r="AV354" s="553" t="str">
        <f>IF(H354="YES",IF($AV$2="Y","'"&amp;INDEX('Structure Groups'!$C$12:$C$14,MATCH($B$5,'Structure Groups'!$B$12:$B$14,0),1)&amp;"'","'"&amp;INDEX('Structure Groups'!$C$16:$C$18,MATCH($B$5,'Structure Groups'!$B$16:$B$18,0),1)&amp;"'"),IF($AV$2="Y","'All'","'Stop'"))</f>
        <v>'Stop'</v>
      </c>
      <c r="AW354" s="552" t="s">
        <v>562</v>
      </c>
      <c r="AX354" s="552"/>
      <c r="AY354" s="552" t="str">
        <f t="shared" si="526"/>
        <v>Yes</v>
      </c>
      <c r="AZ354" s="554" t="str">
        <f t="shared" si="477"/>
        <v>4:1:Back</v>
      </c>
      <c r="BA354" s="554" t="str">
        <f t="shared" si="478"/>
        <v>Broken Wire (# Broken Subconductors)</v>
      </c>
      <c r="BB354" s="552">
        <f t="shared" si="479"/>
        <v>4</v>
      </c>
      <c r="BC354" s="554" t="str">
        <f t="shared" si="480"/>
        <v>14:1:Back</v>
      </c>
      <c r="BD354" s="554" t="str">
        <f t="shared" si="481"/>
        <v>Broken Wire (# Broken Subconductors)</v>
      </c>
      <c r="BE354" s="552">
        <f t="shared" si="482"/>
        <v>4</v>
      </c>
      <c r="BF354" s="554" t="str">
        <f t="shared" si="510"/>
        <v>6:1:Back</v>
      </c>
      <c r="BG354" s="554" t="str">
        <f t="shared" si="483"/>
        <v>Broken Wire (# Broken Subconductors)</v>
      </c>
      <c r="BH354" s="552">
        <f t="shared" si="484"/>
        <v>4</v>
      </c>
      <c r="BI354" s="554" t="str">
        <f t="shared" si="485"/>
        <v>16:1:Back</v>
      </c>
      <c r="BJ354" s="554" t="str">
        <f t="shared" si="486"/>
        <v>Broken Wire (# Broken Subconductors)</v>
      </c>
      <c r="BK354" s="552">
        <f t="shared" si="487"/>
        <v>4</v>
      </c>
      <c r="BL354" s="554" t="str">
        <f t="shared" si="488"/>
        <v/>
      </c>
      <c r="BM354" s="554" t="str">
        <f t="shared" si="489"/>
        <v/>
      </c>
      <c r="BN354" s="552" t="str">
        <f t="shared" si="490"/>
        <v/>
      </c>
      <c r="BO354" s="554" t="str">
        <f t="shared" si="491"/>
        <v/>
      </c>
      <c r="BP354" s="554" t="str">
        <f t="shared" si="492"/>
        <v/>
      </c>
      <c r="BQ354" s="552" t="str">
        <f t="shared" si="493"/>
        <v/>
      </c>
      <c r="BR354" s="554"/>
      <c r="BS354" s="554"/>
      <c r="BT354" s="554"/>
      <c r="BU354" s="554"/>
      <c r="BV354" s="554"/>
      <c r="BW354" s="554"/>
      <c r="BX354" s="554"/>
      <c r="BY354" s="554"/>
      <c r="BZ354" s="554"/>
      <c r="CA354" s="554"/>
      <c r="CB354" s="554"/>
      <c r="CC354" s="554"/>
      <c r="CD354" s="554"/>
      <c r="CE354" s="554"/>
      <c r="CF354" s="554"/>
      <c r="CG354" s="554"/>
      <c r="CH354" s="554"/>
      <c r="CI354" s="554"/>
      <c r="CJ354" s="554"/>
      <c r="CK354" s="554"/>
      <c r="CL354" s="554"/>
      <c r="CM354" s="554"/>
      <c r="CN354" s="554"/>
      <c r="CO354" s="554"/>
      <c r="CP354" s="554"/>
      <c r="CQ354" s="554"/>
      <c r="CR354" s="554"/>
      <c r="CS354" s="554"/>
      <c r="CT354" s="554"/>
      <c r="CU354" s="554"/>
      <c r="CV354" s="554"/>
      <c r="CW354" s="554"/>
      <c r="CX354" s="554"/>
      <c r="CY354" s="554"/>
      <c r="CZ354" s="554"/>
      <c r="DA354" s="554"/>
      <c r="DB354" s="554"/>
      <c r="DC354" s="554"/>
      <c r="DD354" s="554"/>
      <c r="DE354" s="534"/>
      <c r="DF354" s="534"/>
      <c r="DG354" s="534"/>
    </row>
    <row r="355" spans="1:111" ht="15" x14ac:dyDescent="0.25">
      <c r="A355" s="549">
        <f>IFERROR(IF(INDEX('Weather Cases'!$E$10:$E$94,MATCH('Load Criteria'!X355,'Weather Cases'!$H$10:$H$94,0),1)=1,1,"-"),"-")</f>
        <v>1</v>
      </c>
      <c r="B355" s="555" t="s">
        <v>558</v>
      </c>
      <c r="C355" s="556" t="str">
        <f>IF('Weather Cases'!$E$44=0,"","DC")</f>
        <v>DC</v>
      </c>
      <c r="D355" s="555" t="s">
        <v>579</v>
      </c>
      <c r="E355" s="556">
        <v>2</v>
      </c>
      <c r="F355" s="556" t="s">
        <v>22</v>
      </c>
      <c r="G355" s="556" t="str">
        <f>IFERROR(IF(MID('Load Criteria'!X355,FIND("_",'Load Criteria'!X355,1)+1,1)=LEFT(Control!$D$23,1),"YES","-"),"-")</f>
        <v>-</v>
      </c>
      <c r="H355" s="549" t="s">
        <v>22</v>
      </c>
      <c r="I355" s="557" t="s">
        <v>331</v>
      </c>
      <c r="J355" s="550">
        <f>Control!$D$25</f>
        <v>1</v>
      </c>
      <c r="K355" s="508" t="s">
        <v>571</v>
      </c>
      <c r="L355" s="508" t="s">
        <v>40</v>
      </c>
      <c r="M355" s="550">
        <v>5</v>
      </c>
      <c r="N355" s="550">
        <v>6</v>
      </c>
      <c r="O355" s="550"/>
      <c r="P355" s="392"/>
      <c r="Q355" s="392"/>
      <c r="R355" s="392"/>
      <c r="S355" s="392"/>
      <c r="T355" s="392"/>
      <c r="U355" s="255" t="s">
        <v>574</v>
      </c>
      <c r="V355" s="551"/>
      <c r="W355" s="542" t="str">
        <f t="shared" si="494"/>
        <v>RS0001_8+TB56 NA-</v>
      </c>
      <c r="X355" s="552" t="str">
        <f>I355&amp;TEXT(J355,"0000")&amp;"_"&amp;LEFT(Control!$D$22,LEN(Control!$D$22)-2)</f>
        <v>RS0001_8</v>
      </c>
      <c r="Y355" s="552" t="s">
        <v>433</v>
      </c>
      <c r="Z355" s="552" t="str">
        <f t="shared" si="476"/>
        <v>NA-</v>
      </c>
      <c r="AA355" s="552"/>
      <c r="AB355" s="552">
        <v>1</v>
      </c>
      <c r="AC355" s="552">
        <v>1</v>
      </c>
      <c r="AD355" s="552">
        <v>1</v>
      </c>
      <c r="AE355" s="552">
        <v>1</v>
      </c>
      <c r="AF355" s="552">
        <v>1</v>
      </c>
      <c r="AG355" s="542" t="s">
        <v>561</v>
      </c>
      <c r="AH355" s="552">
        <v>0</v>
      </c>
      <c r="AI355" s="552">
        <v>0</v>
      </c>
      <c r="AJ355" s="552">
        <v>1</v>
      </c>
      <c r="AK355" s="552">
        <v>1</v>
      </c>
      <c r="AL355" s="552">
        <v>1</v>
      </c>
      <c r="AM355" s="552">
        <v>0</v>
      </c>
      <c r="AN355" s="552">
        <v>0</v>
      </c>
      <c r="AO355" s="552">
        <v>1</v>
      </c>
      <c r="AP355" s="552">
        <v>1</v>
      </c>
      <c r="AQ355" s="552">
        <v>1</v>
      </c>
      <c r="AR355" s="552">
        <v>1</v>
      </c>
      <c r="AS355" s="552">
        <v>1</v>
      </c>
      <c r="AT355" s="552">
        <v>1</v>
      </c>
      <c r="AU355" s="552">
        <v>1</v>
      </c>
      <c r="AV355" s="553" t="str">
        <f>IF(H355="YES",IF($AV$2="Y","'"&amp;INDEX('Structure Groups'!$C$12:$C$14,MATCH($B$5,'Structure Groups'!$B$12:$B$14,0),1)&amp;"'","'"&amp;INDEX('Structure Groups'!$C$16:$C$18,MATCH($B$5,'Structure Groups'!$B$16:$B$18,0),1)&amp;"'"),IF($AV$2="Y","'All'","'Stop'"))</f>
        <v>'Stop'</v>
      </c>
      <c r="AW355" s="552" t="s">
        <v>562</v>
      </c>
      <c r="AX355" s="552"/>
      <c r="AY355" s="552" t="str">
        <f t="shared" si="526"/>
        <v>Yes</v>
      </c>
      <c r="AZ355" s="554" t="str">
        <f t="shared" si="477"/>
        <v>5:1:Back</v>
      </c>
      <c r="BA355" s="554" t="str">
        <f t="shared" si="478"/>
        <v>Broken Wire (# Broken Subconductors)</v>
      </c>
      <c r="BB355" s="552">
        <f t="shared" si="479"/>
        <v>4</v>
      </c>
      <c r="BC355" s="554" t="str">
        <f t="shared" si="480"/>
        <v>15:1:Back</v>
      </c>
      <c r="BD355" s="554" t="str">
        <f t="shared" si="481"/>
        <v>Broken Wire (# Broken Subconductors)</v>
      </c>
      <c r="BE355" s="552">
        <f t="shared" si="482"/>
        <v>4</v>
      </c>
      <c r="BF355" s="554" t="str">
        <f t="shared" si="510"/>
        <v>6:1:Back</v>
      </c>
      <c r="BG355" s="554" t="str">
        <f t="shared" si="483"/>
        <v>Broken Wire (# Broken Subconductors)</v>
      </c>
      <c r="BH355" s="552">
        <f t="shared" si="484"/>
        <v>4</v>
      </c>
      <c r="BI355" s="554" t="str">
        <f t="shared" si="485"/>
        <v>16:1:Back</v>
      </c>
      <c r="BJ355" s="554" t="str">
        <f t="shared" si="486"/>
        <v>Broken Wire (# Broken Subconductors)</v>
      </c>
      <c r="BK355" s="552">
        <f t="shared" si="487"/>
        <v>4</v>
      </c>
      <c r="BL355" s="554" t="str">
        <f t="shared" si="488"/>
        <v/>
      </c>
      <c r="BM355" s="554" t="str">
        <f t="shared" si="489"/>
        <v/>
      </c>
      <c r="BN355" s="552" t="str">
        <f t="shared" si="490"/>
        <v/>
      </c>
      <c r="BO355" s="554" t="str">
        <f t="shared" si="491"/>
        <v/>
      </c>
      <c r="BP355" s="554" t="str">
        <f t="shared" si="492"/>
        <v/>
      </c>
      <c r="BQ355" s="552" t="str">
        <f t="shared" si="493"/>
        <v/>
      </c>
      <c r="BR355" s="554"/>
      <c r="BS355" s="554"/>
      <c r="BT355" s="554"/>
      <c r="BU355" s="554"/>
      <c r="BV355" s="554"/>
      <c r="BW355" s="554"/>
      <c r="BX355" s="554"/>
      <c r="BY355" s="554"/>
      <c r="BZ355" s="554"/>
      <c r="CA355" s="554"/>
      <c r="CB355" s="554"/>
      <c r="CC355" s="554"/>
      <c r="CD355" s="554"/>
      <c r="CE355" s="554"/>
      <c r="CF355" s="554"/>
      <c r="CG355" s="554"/>
      <c r="CH355" s="554"/>
      <c r="CI355" s="554"/>
      <c r="CJ355" s="554"/>
      <c r="CK355" s="554"/>
      <c r="CL355" s="554"/>
      <c r="CM355" s="554"/>
      <c r="CN355" s="554"/>
      <c r="CO355" s="554"/>
      <c r="CP355" s="554"/>
      <c r="CQ355" s="554"/>
      <c r="CR355" s="554"/>
      <c r="CS355" s="554"/>
      <c r="CT355" s="554"/>
      <c r="CU355" s="554"/>
      <c r="CV355" s="554"/>
      <c r="CW355" s="554"/>
      <c r="CX355" s="554"/>
      <c r="CY355" s="554"/>
      <c r="CZ355" s="554"/>
      <c r="DA355" s="554"/>
      <c r="DB355" s="554"/>
      <c r="DC355" s="554"/>
      <c r="DD355" s="554"/>
      <c r="DE355" s="534"/>
      <c r="DF355" s="534"/>
      <c r="DG355" s="534"/>
    </row>
    <row r="356" spans="1:111" ht="15" x14ac:dyDescent="0.25">
      <c r="A356" s="549">
        <f>IFERROR(IF(INDEX('Weather Cases'!$E$10:$E$94,MATCH('Load Criteria'!X356,'Weather Cases'!$H$10:$H$94,0),1)=1,1,"-"),"-")</f>
        <v>1</v>
      </c>
      <c r="B356" s="555" t="s">
        <v>558</v>
      </c>
      <c r="C356" s="556" t="str">
        <f>IF('Weather Cases'!$E$44=0,"","DC")</f>
        <v>DC</v>
      </c>
      <c r="D356" s="555" t="s">
        <v>579</v>
      </c>
      <c r="E356" s="556">
        <v>2</v>
      </c>
      <c r="F356" s="555" t="s">
        <v>581</v>
      </c>
      <c r="G356" s="556" t="str">
        <f>IFERROR(IF(MID('Load Criteria'!X356,FIND("_",'Load Criteria'!X356,1)+1,1)=LEFT(Control!$D$23,1),"YES","-"),"-")</f>
        <v>-</v>
      </c>
      <c r="H356" s="549" t="s">
        <v>22</v>
      </c>
      <c r="I356" s="557" t="s">
        <v>331</v>
      </c>
      <c r="J356" s="550">
        <f>Control!$D$25</f>
        <v>1</v>
      </c>
      <c r="K356" s="508" t="s">
        <v>571</v>
      </c>
      <c r="L356" s="508" t="s">
        <v>40</v>
      </c>
      <c r="M356" s="550">
        <v>6</v>
      </c>
      <c r="N356" s="550">
        <v>8</v>
      </c>
      <c r="O356" s="550"/>
      <c r="P356" s="392"/>
      <c r="Q356" s="392"/>
      <c r="R356" s="392"/>
      <c r="S356" s="392"/>
      <c r="T356" s="392"/>
      <c r="U356" s="255" t="s">
        <v>574</v>
      </c>
      <c r="V356" s="551"/>
      <c r="W356" s="542" t="str">
        <f t="shared" si="494"/>
        <v>RS0001_8+TB68 NA-</v>
      </c>
      <c r="X356" s="552" t="str">
        <f>I356&amp;TEXT(J356,"0000")&amp;"_"&amp;LEFT(Control!$D$22,LEN(Control!$D$22)-2)</f>
        <v>RS0001_8</v>
      </c>
      <c r="Y356" s="552" t="s">
        <v>433</v>
      </c>
      <c r="Z356" s="552" t="str">
        <f t="shared" si="476"/>
        <v>NA-</v>
      </c>
      <c r="AA356" s="552"/>
      <c r="AB356" s="552">
        <v>1</v>
      </c>
      <c r="AC356" s="552">
        <v>1</v>
      </c>
      <c r="AD356" s="552">
        <v>1</v>
      </c>
      <c r="AE356" s="552">
        <v>1</v>
      </c>
      <c r="AF356" s="552">
        <v>1</v>
      </c>
      <c r="AG356" s="542" t="s">
        <v>561</v>
      </c>
      <c r="AH356" s="552">
        <v>0</v>
      </c>
      <c r="AI356" s="552">
        <v>0</v>
      </c>
      <c r="AJ356" s="552">
        <v>1</v>
      </c>
      <c r="AK356" s="552">
        <v>1</v>
      </c>
      <c r="AL356" s="552">
        <v>1</v>
      </c>
      <c r="AM356" s="552">
        <v>0</v>
      </c>
      <c r="AN356" s="552">
        <v>0</v>
      </c>
      <c r="AO356" s="552">
        <v>1</v>
      </c>
      <c r="AP356" s="552">
        <v>1</v>
      </c>
      <c r="AQ356" s="552">
        <v>1</v>
      </c>
      <c r="AR356" s="552">
        <v>1</v>
      </c>
      <c r="AS356" s="552">
        <v>1</v>
      </c>
      <c r="AT356" s="552">
        <v>1</v>
      </c>
      <c r="AU356" s="552">
        <v>1</v>
      </c>
      <c r="AV356" s="553" t="str">
        <f>IF(H356="YES",IF($AV$2="Y","'"&amp;INDEX('Structure Groups'!$C$12:$C$14,MATCH($B$5,'Structure Groups'!$B$12:$B$14,0),1)&amp;"'","'"&amp;INDEX('Structure Groups'!$C$16:$C$18,MATCH($B$5,'Structure Groups'!$B$16:$B$18,0),1)&amp;"'"),IF($AV$2="Y","'All'","'Stop'"))</f>
        <v>'Stop'</v>
      </c>
      <c r="AW356" s="552" t="s">
        <v>562</v>
      </c>
      <c r="AX356" s="552"/>
      <c r="AY356" s="552" t="str">
        <f t="shared" si="526"/>
        <v>Yes</v>
      </c>
      <c r="AZ356" s="554" t="str">
        <f t="shared" si="477"/>
        <v>6:1:Back</v>
      </c>
      <c r="BA356" s="554" t="str">
        <f t="shared" si="478"/>
        <v>Broken Wire (# Broken Subconductors)</v>
      </c>
      <c r="BB356" s="552">
        <f t="shared" si="479"/>
        <v>4</v>
      </c>
      <c r="BC356" s="554" t="str">
        <f t="shared" si="480"/>
        <v>16:1:Back</v>
      </c>
      <c r="BD356" s="554" t="str">
        <f t="shared" si="481"/>
        <v>Broken Wire (# Broken Subconductors)</v>
      </c>
      <c r="BE356" s="552">
        <f t="shared" si="482"/>
        <v>4</v>
      </c>
      <c r="BF356" s="554" t="str">
        <f t="shared" si="510"/>
        <v>8:1:Back</v>
      </c>
      <c r="BG356" s="554" t="str">
        <f t="shared" si="483"/>
        <v>Broken Wire (# Broken Subconductors)</v>
      </c>
      <c r="BH356" s="552">
        <f t="shared" si="484"/>
        <v>4</v>
      </c>
      <c r="BI356" s="554" t="str">
        <f t="shared" si="485"/>
        <v>18:1:Back</v>
      </c>
      <c r="BJ356" s="554" t="str">
        <f t="shared" si="486"/>
        <v>Broken Wire (# Broken Subconductors)</v>
      </c>
      <c r="BK356" s="552">
        <f t="shared" si="487"/>
        <v>4</v>
      </c>
      <c r="BL356" s="554" t="str">
        <f t="shared" si="488"/>
        <v/>
      </c>
      <c r="BM356" s="554" t="str">
        <f t="shared" si="489"/>
        <v/>
      </c>
      <c r="BN356" s="552" t="str">
        <f t="shared" si="490"/>
        <v/>
      </c>
      <c r="BO356" s="554" t="str">
        <f t="shared" si="491"/>
        <v/>
      </c>
      <c r="BP356" s="554" t="str">
        <f t="shared" si="492"/>
        <v/>
      </c>
      <c r="BQ356" s="552" t="str">
        <f t="shared" si="493"/>
        <v/>
      </c>
      <c r="BR356" s="554"/>
      <c r="BS356" s="554"/>
      <c r="BT356" s="554"/>
      <c r="BU356" s="554"/>
      <c r="BV356" s="554"/>
      <c r="BW356" s="554"/>
      <c r="BX356" s="554"/>
      <c r="BY356" s="554"/>
      <c r="BZ356" s="554"/>
      <c r="CA356" s="554"/>
      <c r="CB356" s="554"/>
      <c r="CC356" s="554"/>
      <c r="CD356" s="554"/>
      <c r="CE356" s="554"/>
      <c r="CF356" s="554"/>
      <c r="CG356" s="554"/>
      <c r="CH356" s="554"/>
      <c r="CI356" s="554"/>
      <c r="CJ356" s="554"/>
      <c r="CK356" s="554"/>
      <c r="CL356" s="554"/>
      <c r="CM356" s="554"/>
      <c r="CN356" s="554"/>
      <c r="CO356" s="554"/>
      <c r="CP356" s="554"/>
      <c r="CQ356" s="554"/>
      <c r="CR356" s="554"/>
      <c r="CS356" s="554"/>
      <c r="CT356" s="554"/>
      <c r="CU356" s="554"/>
      <c r="CV356" s="554"/>
      <c r="CW356" s="554"/>
      <c r="CX356" s="554"/>
      <c r="CY356" s="554"/>
      <c r="CZ356" s="554"/>
      <c r="DA356" s="554"/>
      <c r="DB356" s="554"/>
      <c r="DC356" s="554"/>
      <c r="DD356" s="554"/>
      <c r="DE356" s="534"/>
      <c r="DF356" s="534"/>
      <c r="DG356" s="534"/>
    </row>
    <row r="357" spans="1:111" ht="15" hidden="1" x14ac:dyDescent="0.25">
      <c r="A357" s="549" t="str">
        <f>IFERROR(IF(INDEX('Weather Cases'!$E$10:$E$94,MATCH('Load Criteria'!X357,'Weather Cases'!$H$10:$H$94,0),1)=1,1,"-"),"-")</f>
        <v>-</v>
      </c>
      <c r="B357" s="556" t="s">
        <v>22</v>
      </c>
      <c r="C357" s="556" t="s">
        <v>22</v>
      </c>
      <c r="D357" s="556" t="s">
        <v>22</v>
      </c>
      <c r="E357" s="556" t="s">
        <v>22</v>
      </c>
      <c r="F357" s="556" t="s">
        <v>22</v>
      </c>
      <c r="G357" s="556" t="str">
        <f>IFERROR(IF(MID('Load Criteria'!X357,FIND("_",'Load Criteria'!X357,1)+1,1)=LEFT(Control!$D$23,1),"YES","-"),"-")</f>
        <v>-</v>
      </c>
      <c r="H357" s="549" t="s">
        <v>22</v>
      </c>
      <c r="I357" s="256" t="s">
        <v>583</v>
      </c>
      <c r="J357" s="561"/>
      <c r="K357" s="561"/>
      <c r="L357" s="561"/>
      <c r="M357" s="561"/>
      <c r="N357" s="561"/>
      <c r="O357" s="561"/>
      <c r="P357" s="396"/>
      <c r="Q357" s="396"/>
      <c r="R357" s="396"/>
      <c r="S357" s="396"/>
      <c r="T357" s="396"/>
      <c r="U357" s="561"/>
      <c r="V357" s="561"/>
      <c r="W357" s="554"/>
      <c r="X357" s="554"/>
      <c r="Y357" s="554"/>
      <c r="Z357" s="554"/>
      <c r="AA357" s="554"/>
      <c r="AB357" s="554"/>
      <c r="AC357" s="554"/>
      <c r="AD357" s="554"/>
      <c r="AE357" s="554"/>
      <c r="AF357" s="554"/>
      <c r="AG357" s="554"/>
      <c r="AH357" s="554"/>
      <c r="AI357" s="554"/>
      <c r="AJ357" s="554"/>
      <c r="AK357" s="554"/>
      <c r="AL357" s="554"/>
      <c r="AM357" s="554"/>
      <c r="AN357" s="554"/>
      <c r="AO357" s="554"/>
      <c r="AP357" s="554"/>
      <c r="AQ357" s="554"/>
      <c r="AR357" s="554"/>
      <c r="AS357" s="554"/>
      <c r="AT357" s="554"/>
      <c r="AU357" s="554"/>
      <c r="AV357" s="562"/>
      <c r="AW357" s="554"/>
      <c r="AX357" s="554"/>
      <c r="AY357" s="554"/>
      <c r="AZ357" s="554"/>
      <c r="BA357" s="554"/>
      <c r="BB357" s="552"/>
      <c r="BC357" s="554"/>
      <c r="BD357" s="552"/>
      <c r="BE357" s="554"/>
      <c r="BF357" s="554"/>
      <c r="BG357" s="554"/>
      <c r="BH357" s="554"/>
      <c r="BI357" s="554"/>
      <c r="BJ357" s="554"/>
      <c r="BK357" s="554"/>
      <c r="BL357" s="554"/>
      <c r="BM357" s="554"/>
      <c r="BN357" s="554"/>
      <c r="BO357" s="554"/>
      <c r="BP357" s="554"/>
      <c r="BQ357" s="554"/>
      <c r="BR357" s="554"/>
      <c r="BS357" s="554"/>
      <c r="BT357" s="554"/>
      <c r="BU357" s="554"/>
      <c r="BV357" s="554"/>
      <c r="BW357" s="554"/>
      <c r="BX357" s="554"/>
      <c r="BY357" s="554"/>
      <c r="BZ357" s="554"/>
      <c r="CA357" s="554"/>
      <c r="CB357" s="554"/>
      <c r="CC357" s="554"/>
      <c r="CD357" s="554"/>
      <c r="CE357" s="554"/>
      <c r="CF357" s="554"/>
      <c r="CG357" s="554"/>
      <c r="CH357" s="554"/>
      <c r="CI357" s="554"/>
      <c r="CJ357" s="554"/>
      <c r="CK357" s="554"/>
      <c r="CL357" s="554"/>
      <c r="CM357" s="554"/>
      <c r="CN357" s="554"/>
      <c r="CO357" s="554"/>
      <c r="CP357" s="554"/>
      <c r="CQ357" s="554"/>
      <c r="CR357" s="554"/>
      <c r="CS357" s="554"/>
      <c r="CT357" s="554"/>
      <c r="CU357" s="554"/>
      <c r="CV357" s="554"/>
      <c r="CW357" s="554"/>
      <c r="CX357" s="554"/>
      <c r="CY357" s="554"/>
      <c r="CZ357" s="554"/>
      <c r="DA357" s="554"/>
      <c r="DB357" s="554"/>
      <c r="DC357" s="554"/>
      <c r="DD357" s="554"/>
      <c r="DE357" s="534"/>
      <c r="DF357" s="534"/>
      <c r="DG357" s="534"/>
    </row>
    <row r="358" spans="1:111" ht="15" x14ac:dyDescent="0.25">
      <c r="A358" s="549">
        <f>IFERROR(IF(INDEX('Weather Cases'!$E$10:$E$94,MATCH('Load Criteria'!X358,'Weather Cases'!$H$10:$H$94,0),1)=1,1,"-"),"-")</f>
        <v>1</v>
      </c>
      <c r="B358" s="555" t="s">
        <v>558</v>
      </c>
      <c r="C358" s="556" t="str">
        <f>IF('Weather Cases'!$E$46=0,"","DC/SC")</f>
        <v>DC/SC</v>
      </c>
      <c r="D358" s="555" t="s">
        <v>579</v>
      </c>
      <c r="E358" s="556" t="s">
        <v>558</v>
      </c>
      <c r="F358" s="556" t="s">
        <v>22</v>
      </c>
      <c r="G358" s="556" t="str">
        <f>IFERROR(IF(MID('Load Criteria'!X358,FIND("_",'Load Criteria'!X358,1)+1,1)=LEFT(Control!$D$23,1),"YES","-"),"-")</f>
        <v>-</v>
      </c>
      <c r="H358" s="549" t="str">
        <f>IF(INDEX('Weather Cases'!$G$10:$G$94,MATCH('Load Criteria'!X358,'Weather Cases'!$H$10:$H$94,0),1)="H","YES","")</f>
        <v>YES</v>
      </c>
      <c r="I358" s="557" t="s">
        <v>333</v>
      </c>
      <c r="J358" s="550">
        <f>Control!$D$25</f>
        <v>1</v>
      </c>
      <c r="K358" s="508" t="s">
        <v>569</v>
      </c>
      <c r="L358" s="508" t="s">
        <v>24</v>
      </c>
      <c r="M358" s="508"/>
      <c r="N358" s="508"/>
      <c r="O358" s="508"/>
      <c r="P358" s="395"/>
      <c r="Q358" s="395"/>
      <c r="R358" s="395"/>
      <c r="S358" s="395"/>
      <c r="T358" s="395"/>
      <c r="U358" s="255" t="s">
        <v>568</v>
      </c>
      <c r="V358" s="551" t="s">
        <v>300</v>
      </c>
      <c r="W358" s="542" t="str">
        <f t="shared" si="494"/>
        <v>RI0001_8+LA NA+</v>
      </c>
      <c r="X358" s="552" t="str">
        <f>I358&amp;TEXT(J358,"0000")&amp;"_"&amp;LEFT(Control!$D$22,LEN(Control!$D$22)-2)</f>
        <v>RI0001_8</v>
      </c>
      <c r="Y358" s="552" t="s">
        <v>433</v>
      </c>
      <c r="Z358" s="552" t="str">
        <f>U358</f>
        <v>NA+</v>
      </c>
      <c r="AA358" s="552"/>
      <c r="AB358" s="552">
        <v>1</v>
      </c>
      <c r="AC358" s="552">
        <v>1</v>
      </c>
      <c r="AD358" s="552">
        <v>1</v>
      </c>
      <c r="AE358" s="552">
        <v>1</v>
      </c>
      <c r="AF358" s="552">
        <v>1</v>
      </c>
      <c r="AG358" s="542" t="s">
        <v>561</v>
      </c>
      <c r="AH358" s="552">
        <v>0</v>
      </c>
      <c r="AI358" s="552">
        <v>0</v>
      </c>
      <c r="AJ358" s="552">
        <v>1</v>
      </c>
      <c r="AK358" s="552">
        <v>1</v>
      </c>
      <c r="AL358" s="552">
        <v>1</v>
      </c>
      <c r="AM358" s="552">
        <v>0</v>
      </c>
      <c r="AN358" s="552">
        <v>0</v>
      </c>
      <c r="AO358" s="552">
        <v>1</v>
      </c>
      <c r="AP358" s="552">
        <v>1</v>
      </c>
      <c r="AQ358" s="552">
        <v>1</v>
      </c>
      <c r="AR358" s="552">
        <v>1</v>
      </c>
      <c r="AS358" s="552">
        <v>1</v>
      </c>
      <c r="AT358" s="552">
        <v>1</v>
      </c>
      <c r="AU358" s="552">
        <v>1</v>
      </c>
      <c r="AV358" s="553" t="str">
        <f>IF(H358="YES",IF($AV$2="Y","'"&amp;INDEX('Structure Groups'!$C$12:$C$14,MATCH($B$5,'Structure Groups'!$B$12:$B$14,0),1)&amp;"'","'"&amp;INDEX('Structure Groups'!$C$16:$C$18,MATCH($B$5,'Structure Groups'!$B$16:$B$18,0),1)&amp;"'"),IF($AV$2="Y","'All'","'Stop'"))</f>
        <v>'Stop GL Max 800m'</v>
      </c>
      <c r="AW358" s="552" t="s">
        <v>562</v>
      </c>
      <c r="AX358" s="552"/>
      <c r="AY358" s="552" t="str">
        <f t="shared" ref="AY358:AY389" si="527">IF(L358="","No","Yes")</f>
        <v>Yes</v>
      </c>
      <c r="AZ358" s="554" t="str">
        <f>IF($AY358="No","",IF($L358="A","Ahead Spans","Back Spans"))</f>
        <v>Ahead Spans</v>
      </c>
      <c r="BA358" s="554" t="str">
        <f>IF(AZ358="","","Broken Wire (# Broken Subconductors)")</f>
        <v>Broken Wire (# Broken Subconductors)</v>
      </c>
      <c r="BB358" s="552">
        <v>4</v>
      </c>
      <c r="BC358" s="554"/>
      <c r="BD358" s="554"/>
      <c r="BE358" s="552"/>
      <c r="BF358" s="554" t="str">
        <f>IF($N358="","",$N358&amp;":1:"&amp;IF($L358="A","Ahead","Back"))</f>
        <v/>
      </c>
      <c r="BG358" s="554" t="str">
        <f>IF(BF358="","","% Wire Ice")</f>
        <v/>
      </c>
      <c r="BH358" s="552" t="str">
        <f>IF(BF358="","",40)</f>
        <v/>
      </c>
      <c r="BI358" s="554" t="str">
        <f>IF($N358="","",$N358&amp;":1:"&amp;IF($L358="A","Back","Ahead"))</f>
        <v/>
      </c>
      <c r="BJ358" s="554" t="str">
        <f>IF(BI358="","","% Wire Ice")</f>
        <v/>
      </c>
      <c r="BK358" s="552" t="str">
        <f>IF(BH358="","",70)</f>
        <v/>
      </c>
      <c r="BL358" s="554" t="str">
        <f>IF($O358="","",$O358&amp;":1:"&amp;IF($L358="A","Ahead","Back"))</f>
        <v/>
      </c>
      <c r="BM358" s="554" t="str">
        <f>IF(BL358="","","% Wire Ice")</f>
        <v/>
      </c>
      <c r="BN358" s="552" t="str">
        <f>IF(BL358="","",40)</f>
        <v/>
      </c>
      <c r="BO358" s="554" t="str">
        <f>IF($O358="","",$O358&amp;":1:"&amp;IF($L358="A","Back","Ahead"))</f>
        <v/>
      </c>
      <c r="BP358" s="554" t="str">
        <f>IF(BO358="","","% Wire Ice")</f>
        <v/>
      </c>
      <c r="BQ358" s="552" t="str">
        <f>IF(BN358="","",70)</f>
        <v/>
      </c>
      <c r="BR358" s="554"/>
      <c r="BS358" s="554"/>
      <c r="BT358" s="554"/>
      <c r="BU358" s="554"/>
      <c r="BV358" s="554"/>
      <c r="BW358" s="554"/>
      <c r="BX358" s="554"/>
      <c r="BY358" s="554"/>
      <c r="BZ358" s="554"/>
      <c r="CA358" s="554"/>
      <c r="CB358" s="554"/>
      <c r="CC358" s="554"/>
      <c r="CD358" s="554"/>
      <c r="CE358" s="554"/>
      <c r="CF358" s="554"/>
      <c r="CG358" s="554"/>
      <c r="CH358" s="554"/>
      <c r="CI358" s="554"/>
      <c r="CJ358" s="554"/>
      <c r="CK358" s="554"/>
      <c r="CL358" s="554"/>
      <c r="CM358" s="554"/>
      <c r="CN358" s="554"/>
      <c r="CO358" s="554"/>
      <c r="CP358" s="554"/>
      <c r="CQ358" s="554"/>
      <c r="CR358" s="554"/>
      <c r="CS358" s="554"/>
      <c r="CT358" s="554"/>
      <c r="CU358" s="554"/>
      <c r="CV358" s="554"/>
      <c r="CW358" s="554"/>
      <c r="CX358" s="554"/>
      <c r="CY358" s="554"/>
      <c r="CZ358" s="554"/>
      <c r="DA358" s="554"/>
      <c r="DB358" s="554"/>
      <c r="DC358" s="554"/>
      <c r="DD358" s="554"/>
      <c r="DE358" s="534"/>
      <c r="DF358" s="534"/>
      <c r="DG358" s="534"/>
    </row>
    <row r="359" spans="1:111" ht="15" x14ac:dyDescent="0.25">
      <c r="A359" s="549">
        <f>IFERROR(IF(INDEX('Weather Cases'!$E$10:$E$94,MATCH('Load Criteria'!X359,'Weather Cases'!$H$10:$H$94,0),1)=1,1,"-"),"-")</f>
        <v>1</v>
      </c>
      <c r="B359" s="555" t="s">
        <v>558</v>
      </c>
      <c r="C359" s="556" t="str">
        <f>IF('Weather Cases'!$E$46=0,"","DC/SC")</f>
        <v>DC/SC</v>
      </c>
      <c r="D359" s="555" t="s">
        <v>579</v>
      </c>
      <c r="E359" s="556" t="s">
        <v>558</v>
      </c>
      <c r="F359" s="556" t="s">
        <v>22</v>
      </c>
      <c r="G359" s="556" t="str">
        <f>IFERROR(IF(MID('Load Criteria'!X359,FIND("_",'Load Criteria'!X359,1)+1,1)=LEFT(Control!$D$23,1),"YES","-"),"-")</f>
        <v>-</v>
      </c>
      <c r="H359" s="549" t="str">
        <f>IF(INDEX('Weather Cases'!$G$10:$G$94,MATCH('Load Criteria'!X359,'Weather Cases'!$H$10:$H$94,0),1)="H","YES","")</f>
        <v>YES</v>
      </c>
      <c r="I359" s="557" t="s">
        <v>333</v>
      </c>
      <c r="J359" s="550">
        <f>Control!$D$25</f>
        <v>1</v>
      </c>
      <c r="K359" s="508" t="s">
        <v>569</v>
      </c>
      <c r="L359" s="508" t="s">
        <v>40</v>
      </c>
      <c r="M359" s="508"/>
      <c r="N359" s="508"/>
      <c r="O359" s="508"/>
      <c r="P359" s="395"/>
      <c r="Q359" s="395"/>
      <c r="R359" s="395"/>
      <c r="S359" s="395"/>
      <c r="T359" s="395"/>
      <c r="U359" s="255" t="s">
        <v>568</v>
      </c>
      <c r="V359" s="551" t="s">
        <v>300</v>
      </c>
      <c r="W359" s="542" t="str">
        <f t="shared" si="494"/>
        <v>RI0001_8+LB NA+</v>
      </c>
      <c r="X359" s="552" t="str">
        <f>I359&amp;TEXT(J359,"0000")&amp;"_"&amp;LEFT(Control!$D$22,LEN(Control!$D$22)-2)</f>
        <v>RI0001_8</v>
      </c>
      <c r="Y359" s="552" t="s">
        <v>433</v>
      </c>
      <c r="Z359" s="552" t="str">
        <f>U359</f>
        <v>NA+</v>
      </c>
      <c r="AA359" s="552"/>
      <c r="AB359" s="552">
        <v>1</v>
      </c>
      <c r="AC359" s="552">
        <v>1</v>
      </c>
      <c r="AD359" s="552">
        <v>1</v>
      </c>
      <c r="AE359" s="552">
        <v>1</v>
      </c>
      <c r="AF359" s="552">
        <v>1</v>
      </c>
      <c r="AG359" s="542" t="s">
        <v>561</v>
      </c>
      <c r="AH359" s="552">
        <v>0</v>
      </c>
      <c r="AI359" s="552">
        <v>0</v>
      </c>
      <c r="AJ359" s="552">
        <v>1</v>
      </c>
      <c r="AK359" s="552">
        <v>1</v>
      </c>
      <c r="AL359" s="552">
        <v>1</v>
      </c>
      <c r="AM359" s="552">
        <v>0</v>
      </c>
      <c r="AN359" s="552">
        <v>0</v>
      </c>
      <c r="AO359" s="552">
        <v>1</v>
      </c>
      <c r="AP359" s="552">
        <v>1</v>
      </c>
      <c r="AQ359" s="552">
        <v>1</v>
      </c>
      <c r="AR359" s="552">
        <v>1</v>
      </c>
      <c r="AS359" s="552">
        <v>1</v>
      </c>
      <c r="AT359" s="552">
        <v>1</v>
      </c>
      <c r="AU359" s="552">
        <v>1</v>
      </c>
      <c r="AV359" s="553" t="str">
        <f>IF(H359="YES",IF($AV$2="Y","'"&amp;INDEX('Structure Groups'!$C$12:$C$14,MATCH($B$5,'Structure Groups'!$B$12:$B$14,0),1)&amp;"'","'"&amp;INDEX('Structure Groups'!$C$16:$C$18,MATCH($B$5,'Structure Groups'!$B$16:$B$18,0),1)&amp;"'"),IF($AV$2="Y","'All'","'Stop'"))</f>
        <v>'Stop GL Max 800m'</v>
      </c>
      <c r="AW359" s="552" t="s">
        <v>562</v>
      </c>
      <c r="AX359" s="552"/>
      <c r="AY359" s="552" t="str">
        <f t="shared" si="527"/>
        <v>Yes</v>
      </c>
      <c r="AZ359" s="554" t="str">
        <f>IF($AY359="No","",IF($L359="A","Ahead Spans","Back Spans"))</f>
        <v>Back Spans</v>
      </c>
      <c r="BA359" s="554" t="str">
        <f>IF(AZ359="","","Broken Wire (# Broken Subconductors)")</f>
        <v>Broken Wire (# Broken Subconductors)</v>
      </c>
      <c r="BB359" s="552">
        <v>4</v>
      </c>
      <c r="BC359" s="554"/>
      <c r="BD359" s="554"/>
      <c r="BE359" s="552"/>
      <c r="BF359" s="554" t="str">
        <f>IF($N359="","",$N359&amp;":1:"&amp;IF($L359="A","Ahead","Back"))</f>
        <v/>
      </c>
      <c r="BG359" s="554" t="str">
        <f>IF(BF359="","","% Wire Ice")</f>
        <v/>
      </c>
      <c r="BH359" s="552" t="str">
        <f>IF(BF359="","",40)</f>
        <v/>
      </c>
      <c r="BI359" s="554" t="str">
        <f>IF($N359="","",$N359&amp;":1:"&amp;IF($L359="A","Back","Ahead"))</f>
        <v/>
      </c>
      <c r="BJ359" s="554" t="str">
        <f>IF(BI359="","","% Wire Ice")</f>
        <v/>
      </c>
      <c r="BK359" s="552" t="str">
        <f>IF(BH359="","",70)</f>
        <v/>
      </c>
      <c r="BL359" s="554" t="str">
        <f>IF($O359="","",$O359&amp;":1:"&amp;IF($L359="A","Ahead","Back"))</f>
        <v/>
      </c>
      <c r="BM359" s="554" t="str">
        <f>IF(BL359="","","% Wire Ice")</f>
        <v/>
      </c>
      <c r="BN359" s="552" t="str">
        <f>IF(BL359="","",40)</f>
        <v/>
      </c>
      <c r="BO359" s="554" t="str">
        <f>IF($O359="","",$O359&amp;":1:"&amp;IF($L359="A","Back","Ahead"))</f>
        <v/>
      </c>
      <c r="BP359" s="554" t="str">
        <f>IF(BO359="","","% Wire Ice")</f>
        <v/>
      </c>
      <c r="BQ359" s="552" t="str">
        <f>IF(BN359="","",70)</f>
        <v/>
      </c>
      <c r="BR359" s="554"/>
      <c r="BS359" s="554"/>
      <c r="BT359" s="554"/>
      <c r="BU359" s="554"/>
      <c r="BV359" s="554"/>
      <c r="BW359" s="554"/>
      <c r="BX359" s="554"/>
      <c r="BY359" s="554"/>
      <c r="BZ359" s="554"/>
      <c r="CA359" s="554"/>
      <c r="CB359" s="554"/>
      <c r="CC359" s="554"/>
      <c r="CD359" s="554"/>
      <c r="CE359" s="554"/>
      <c r="CF359" s="554"/>
      <c r="CG359" s="554"/>
      <c r="CH359" s="554"/>
      <c r="CI359" s="554"/>
      <c r="CJ359" s="554"/>
      <c r="CK359" s="554"/>
      <c r="CL359" s="554"/>
      <c r="CM359" s="554"/>
      <c r="CN359" s="554"/>
      <c r="CO359" s="554"/>
      <c r="CP359" s="554"/>
      <c r="CQ359" s="554"/>
      <c r="CR359" s="554"/>
      <c r="CS359" s="554"/>
      <c r="CT359" s="554"/>
      <c r="CU359" s="554"/>
      <c r="CV359" s="554"/>
      <c r="CW359" s="554"/>
      <c r="CX359" s="554"/>
      <c r="CY359" s="554"/>
      <c r="CZ359" s="554"/>
      <c r="DA359" s="554"/>
      <c r="DB359" s="554"/>
      <c r="DC359" s="554"/>
      <c r="DD359" s="554"/>
      <c r="DE359" s="534"/>
      <c r="DF359" s="534"/>
      <c r="DG359" s="534"/>
    </row>
    <row r="360" spans="1:111" ht="15" x14ac:dyDescent="0.25">
      <c r="A360" s="549">
        <f>IFERROR(IF(INDEX('Weather Cases'!$E$10:$E$94,MATCH('Load Criteria'!X360,'Weather Cases'!$H$10:$H$94,0),1)=1,1,"-"),"-")</f>
        <v>1</v>
      </c>
      <c r="B360" s="555" t="s">
        <v>558</v>
      </c>
      <c r="C360" s="556" t="str">
        <f>IF('Weather Cases'!$E$46=0,"","DC/SC")</f>
        <v>DC/SC</v>
      </c>
      <c r="D360" s="555" t="s">
        <v>579</v>
      </c>
      <c r="E360" s="556" t="s">
        <v>558</v>
      </c>
      <c r="F360" s="556" t="s">
        <v>22</v>
      </c>
      <c r="G360" s="556" t="str">
        <f>IFERROR(IF(MID('Load Criteria'!X360,FIND("_",'Load Criteria'!X360,1)+1,1)=LEFT(Control!$D$23,1),"YES","-"),"-")</f>
        <v>-</v>
      </c>
      <c r="H360" s="549" t="str">
        <f>IF(INDEX('Weather Cases'!$G$10:$G$94,MATCH('Load Criteria'!X360,'Weather Cases'!$H$10:$H$94,0),1)="H","YES","")</f>
        <v>YES</v>
      </c>
      <c r="I360" s="557" t="s">
        <v>333</v>
      </c>
      <c r="J360" s="550">
        <f>Control!$D$25</f>
        <v>1</v>
      </c>
      <c r="K360" s="508" t="s">
        <v>569</v>
      </c>
      <c r="L360" s="508" t="s">
        <v>24</v>
      </c>
      <c r="M360" s="508"/>
      <c r="N360" s="508"/>
      <c r="O360" s="508"/>
      <c r="P360" s="395"/>
      <c r="Q360" s="395"/>
      <c r="R360" s="395"/>
      <c r="S360" s="395"/>
      <c r="T360" s="395"/>
      <c r="U360" s="255" t="s">
        <v>574</v>
      </c>
      <c r="V360" s="551" t="s">
        <v>300</v>
      </c>
      <c r="W360" s="542" t="str">
        <f t="shared" ref="W360:W361" si="528">X360&amp;"+"&amp;K360&amp;IF(L360="","",CONCATENATE(L360,M360,N360,O360))&amp;" "&amp;U360</f>
        <v>RI0001_8+LA NA-</v>
      </c>
      <c r="X360" s="552" t="str">
        <f>I360&amp;TEXT(J360,"0000")&amp;"_"&amp;LEFT(Control!$D$22,LEN(Control!$D$22)-2)</f>
        <v>RI0001_8</v>
      </c>
      <c r="Y360" s="552" t="s">
        <v>433</v>
      </c>
      <c r="Z360" s="552" t="str">
        <f>U360</f>
        <v>NA-</v>
      </c>
      <c r="AA360" s="552"/>
      <c r="AB360" s="552">
        <v>1</v>
      </c>
      <c r="AC360" s="552">
        <v>1</v>
      </c>
      <c r="AD360" s="552">
        <v>1</v>
      </c>
      <c r="AE360" s="552">
        <v>1</v>
      </c>
      <c r="AF360" s="552">
        <v>1</v>
      </c>
      <c r="AG360" s="542" t="s">
        <v>561</v>
      </c>
      <c r="AH360" s="552">
        <v>0</v>
      </c>
      <c r="AI360" s="552">
        <v>0</v>
      </c>
      <c r="AJ360" s="552">
        <v>1</v>
      </c>
      <c r="AK360" s="552">
        <v>1</v>
      </c>
      <c r="AL360" s="552">
        <v>1</v>
      </c>
      <c r="AM360" s="552">
        <v>0</v>
      </c>
      <c r="AN360" s="552">
        <v>0</v>
      </c>
      <c r="AO360" s="552">
        <v>1</v>
      </c>
      <c r="AP360" s="552">
        <v>1</v>
      </c>
      <c r="AQ360" s="552">
        <v>1</v>
      </c>
      <c r="AR360" s="552">
        <v>1</v>
      </c>
      <c r="AS360" s="552">
        <v>1</v>
      </c>
      <c r="AT360" s="552">
        <v>1</v>
      </c>
      <c r="AU360" s="552">
        <v>1</v>
      </c>
      <c r="AV360" s="553" t="str">
        <f>IF(H360="YES",IF($AV$2="Y","'"&amp;INDEX('Structure Groups'!$C$12:$C$14,MATCH($B$5,'Structure Groups'!$B$12:$B$14,0),1)&amp;"'","'"&amp;INDEX('Structure Groups'!$C$16:$C$18,MATCH($B$5,'Structure Groups'!$B$16:$B$18,0),1)&amp;"'"),IF($AV$2="Y","'All'","'Stop'"))</f>
        <v>'Stop GL Max 800m'</v>
      </c>
      <c r="AW360" s="552" t="s">
        <v>562</v>
      </c>
      <c r="AX360" s="552"/>
      <c r="AY360" s="552" t="str">
        <f t="shared" si="527"/>
        <v>Yes</v>
      </c>
      <c r="AZ360" s="554" t="str">
        <f>IF($AY360="No","",IF($L360="A","Ahead Spans","Back Spans"))</f>
        <v>Ahead Spans</v>
      </c>
      <c r="BA360" s="554" t="str">
        <f>IF(AZ360="","","Broken Wire (# Broken Subconductors)")</f>
        <v>Broken Wire (# Broken Subconductors)</v>
      </c>
      <c r="BB360" s="552">
        <v>4</v>
      </c>
      <c r="BC360" s="554"/>
      <c r="BD360" s="554"/>
      <c r="BE360" s="552"/>
      <c r="BF360" s="554" t="str">
        <f>IF($N360="","",$N360&amp;":1:"&amp;IF($L360="A","Ahead","Back"))</f>
        <v/>
      </c>
      <c r="BG360" s="554" t="str">
        <f>IF(BF360="","","% Wire Ice")</f>
        <v/>
      </c>
      <c r="BH360" s="552" t="str">
        <f>IF(BF360="","",40)</f>
        <v/>
      </c>
      <c r="BI360" s="554" t="str">
        <f>IF($N360="","",$N360&amp;":1:"&amp;IF($L360="A","Back","Ahead"))</f>
        <v/>
      </c>
      <c r="BJ360" s="554" t="str">
        <f>IF(BI360="","","% Wire Ice")</f>
        <v/>
      </c>
      <c r="BK360" s="552" t="str">
        <f>IF(BH360="","",70)</f>
        <v/>
      </c>
      <c r="BL360" s="554" t="str">
        <f>IF($O360="","",$O360&amp;":1:"&amp;IF($L360="A","Ahead","Back"))</f>
        <v/>
      </c>
      <c r="BM360" s="554" t="str">
        <f>IF(BL360="","","% Wire Ice")</f>
        <v/>
      </c>
      <c r="BN360" s="552" t="str">
        <f>IF(BL360="","",40)</f>
        <v/>
      </c>
      <c r="BO360" s="554" t="str">
        <f>IF($O360="","",$O360&amp;":1:"&amp;IF($L360="A","Back","Ahead"))</f>
        <v/>
      </c>
      <c r="BP360" s="554" t="str">
        <f>IF(BO360="","","% Wire Ice")</f>
        <v/>
      </c>
      <c r="BQ360" s="552" t="str">
        <f>IF(BN360="","",70)</f>
        <v/>
      </c>
      <c r="BR360" s="554"/>
      <c r="BS360" s="554"/>
      <c r="BT360" s="554"/>
      <c r="BU360" s="554"/>
      <c r="BV360" s="554"/>
      <c r="BW360" s="554"/>
      <c r="BX360" s="554"/>
      <c r="BY360" s="554"/>
      <c r="BZ360" s="554"/>
      <c r="CA360" s="554"/>
      <c r="CB360" s="554"/>
      <c r="CC360" s="554"/>
      <c r="CD360" s="554"/>
      <c r="CE360" s="554"/>
      <c r="CF360" s="554"/>
      <c r="CG360" s="554"/>
      <c r="CH360" s="554"/>
      <c r="CI360" s="554"/>
      <c r="CJ360" s="554"/>
      <c r="CK360" s="554"/>
      <c r="CL360" s="554"/>
      <c r="CM360" s="554"/>
      <c r="CN360" s="554"/>
      <c r="CO360" s="554"/>
      <c r="CP360" s="554"/>
      <c r="CQ360" s="554"/>
      <c r="CR360" s="554"/>
      <c r="CS360" s="554"/>
      <c r="CT360" s="554"/>
      <c r="CU360" s="554"/>
      <c r="CV360" s="554"/>
      <c r="CW360" s="554"/>
      <c r="CX360" s="554"/>
      <c r="CY360" s="554"/>
      <c r="CZ360" s="554"/>
      <c r="DA360" s="554"/>
      <c r="DB360" s="554"/>
      <c r="DC360" s="554"/>
      <c r="DD360" s="554"/>
      <c r="DE360" s="534"/>
      <c r="DF360" s="534"/>
      <c r="DG360" s="534"/>
    </row>
    <row r="361" spans="1:111" ht="15" x14ac:dyDescent="0.25">
      <c r="A361" s="549">
        <f>IFERROR(IF(INDEX('Weather Cases'!$E$10:$E$94,MATCH('Load Criteria'!X361,'Weather Cases'!$H$10:$H$94,0),1)=1,1,"-"),"-")</f>
        <v>1</v>
      </c>
      <c r="B361" s="555" t="s">
        <v>558</v>
      </c>
      <c r="C361" s="556" t="str">
        <f>IF('Weather Cases'!$E$46=0,"","DC/SC")</f>
        <v>DC/SC</v>
      </c>
      <c r="D361" s="555" t="s">
        <v>579</v>
      </c>
      <c r="E361" s="556" t="s">
        <v>558</v>
      </c>
      <c r="F361" s="556" t="s">
        <v>22</v>
      </c>
      <c r="G361" s="556" t="str">
        <f>IFERROR(IF(MID('Load Criteria'!X361,FIND("_",'Load Criteria'!X361,1)+1,1)=LEFT(Control!$D$23,1),"YES","-"),"-")</f>
        <v>-</v>
      </c>
      <c r="H361" s="549" t="str">
        <f>IF(INDEX('Weather Cases'!$G$10:$G$94,MATCH('Load Criteria'!X361,'Weather Cases'!$H$10:$H$94,0),1)="H","YES","")</f>
        <v>YES</v>
      </c>
      <c r="I361" s="557" t="s">
        <v>333</v>
      </c>
      <c r="J361" s="550">
        <f>Control!$D$25</f>
        <v>1</v>
      </c>
      <c r="K361" s="508" t="s">
        <v>569</v>
      </c>
      <c r="L361" s="508" t="s">
        <v>40</v>
      </c>
      <c r="M361" s="508"/>
      <c r="N361" s="508"/>
      <c r="O361" s="508"/>
      <c r="P361" s="395"/>
      <c r="Q361" s="395"/>
      <c r="R361" s="395"/>
      <c r="S361" s="395"/>
      <c r="T361" s="395"/>
      <c r="U361" s="255" t="s">
        <v>574</v>
      </c>
      <c r="V361" s="551" t="s">
        <v>300</v>
      </c>
      <c r="W361" s="542" t="str">
        <f t="shared" si="528"/>
        <v>RI0001_8+LB NA-</v>
      </c>
      <c r="X361" s="552" t="str">
        <f>I361&amp;TEXT(J361,"0000")&amp;"_"&amp;LEFT(Control!$D$22,LEN(Control!$D$22)-2)</f>
        <v>RI0001_8</v>
      </c>
      <c r="Y361" s="552" t="s">
        <v>433</v>
      </c>
      <c r="Z361" s="552" t="str">
        <f>U361</f>
        <v>NA-</v>
      </c>
      <c r="AA361" s="552"/>
      <c r="AB361" s="552">
        <v>1</v>
      </c>
      <c r="AC361" s="552">
        <v>1</v>
      </c>
      <c r="AD361" s="552">
        <v>1</v>
      </c>
      <c r="AE361" s="552">
        <v>1</v>
      </c>
      <c r="AF361" s="552">
        <v>1</v>
      </c>
      <c r="AG361" s="542" t="s">
        <v>561</v>
      </c>
      <c r="AH361" s="552">
        <v>0</v>
      </c>
      <c r="AI361" s="552">
        <v>0</v>
      </c>
      <c r="AJ361" s="552">
        <v>1</v>
      </c>
      <c r="AK361" s="552">
        <v>1</v>
      </c>
      <c r="AL361" s="552">
        <v>1</v>
      </c>
      <c r="AM361" s="552">
        <v>0</v>
      </c>
      <c r="AN361" s="552">
        <v>0</v>
      </c>
      <c r="AO361" s="552">
        <v>1</v>
      </c>
      <c r="AP361" s="552">
        <v>1</v>
      </c>
      <c r="AQ361" s="552">
        <v>1</v>
      </c>
      <c r="AR361" s="552">
        <v>1</v>
      </c>
      <c r="AS361" s="552">
        <v>1</v>
      </c>
      <c r="AT361" s="552">
        <v>1</v>
      </c>
      <c r="AU361" s="552">
        <v>1</v>
      </c>
      <c r="AV361" s="553" t="str">
        <f>IF(H361="YES",IF($AV$2="Y","'"&amp;INDEX('Structure Groups'!$C$12:$C$14,MATCH($B$5,'Structure Groups'!$B$12:$B$14,0),1)&amp;"'","'"&amp;INDEX('Structure Groups'!$C$16:$C$18,MATCH($B$5,'Structure Groups'!$B$16:$B$18,0),1)&amp;"'"),IF($AV$2="Y","'All'","'Stop'"))</f>
        <v>'Stop GL Max 800m'</v>
      </c>
      <c r="AW361" s="552" t="s">
        <v>562</v>
      </c>
      <c r="AX361" s="552"/>
      <c r="AY361" s="552" t="str">
        <f t="shared" si="527"/>
        <v>Yes</v>
      </c>
      <c r="AZ361" s="554" t="str">
        <f>IF($AY361="No","",IF($L361="A","Ahead Spans","Back Spans"))</f>
        <v>Back Spans</v>
      </c>
      <c r="BA361" s="554" t="str">
        <f>IF(AZ361="","","Broken Wire (# Broken Subconductors)")</f>
        <v>Broken Wire (# Broken Subconductors)</v>
      </c>
      <c r="BB361" s="552">
        <v>4</v>
      </c>
      <c r="BC361" s="554"/>
      <c r="BD361" s="554"/>
      <c r="BE361" s="552"/>
      <c r="BF361" s="554" t="str">
        <f>IF($N361="","",$N361&amp;":1:"&amp;IF($L361="A","Ahead","Back"))</f>
        <v/>
      </c>
      <c r="BG361" s="554" t="str">
        <f>IF(BF361="","","% Wire Ice")</f>
        <v/>
      </c>
      <c r="BH361" s="552" t="str">
        <f>IF(BF361="","",40)</f>
        <v/>
      </c>
      <c r="BI361" s="554" t="str">
        <f>IF($N361="","",$N361&amp;":1:"&amp;IF($L361="A","Back","Ahead"))</f>
        <v/>
      </c>
      <c r="BJ361" s="554" t="str">
        <f>IF(BI361="","","% Wire Ice")</f>
        <v/>
      </c>
      <c r="BK361" s="552" t="str">
        <f>IF(BH361="","",70)</f>
        <v/>
      </c>
      <c r="BL361" s="554" t="str">
        <f>IF($O361="","",$O361&amp;":1:"&amp;IF($L361="A","Ahead","Back"))</f>
        <v/>
      </c>
      <c r="BM361" s="554" t="str">
        <f>IF(BL361="","","% Wire Ice")</f>
        <v/>
      </c>
      <c r="BN361" s="552" t="str">
        <f>IF(BL361="","",40)</f>
        <v/>
      </c>
      <c r="BO361" s="554" t="str">
        <f>IF($O361="","",$O361&amp;":1:"&amp;IF($L361="A","Back","Ahead"))</f>
        <v/>
      </c>
      <c r="BP361" s="554" t="str">
        <f>IF(BO361="","","% Wire Ice")</f>
        <v/>
      </c>
      <c r="BQ361" s="552" t="str">
        <f>IF(BN361="","",70)</f>
        <v/>
      </c>
      <c r="BR361" s="554"/>
      <c r="BS361" s="554"/>
      <c r="BT361" s="554"/>
      <c r="BU361" s="554"/>
      <c r="BV361" s="554"/>
      <c r="BW361" s="554"/>
      <c r="BX361" s="554"/>
      <c r="BY361" s="554"/>
      <c r="BZ361" s="554"/>
      <c r="CA361" s="554"/>
      <c r="CB361" s="554"/>
      <c r="CC361" s="554"/>
      <c r="CD361" s="554"/>
      <c r="CE361" s="554"/>
      <c r="CF361" s="554"/>
      <c r="CG361" s="554"/>
      <c r="CH361" s="554"/>
      <c r="CI361" s="554"/>
      <c r="CJ361" s="554"/>
      <c r="CK361" s="554"/>
      <c r="CL361" s="554"/>
      <c r="CM361" s="554"/>
      <c r="CN361" s="554"/>
      <c r="CO361" s="554"/>
      <c r="CP361" s="554"/>
      <c r="CQ361" s="554"/>
      <c r="CR361" s="554"/>
      <c r="CS361" s="554"/>
      <c r="CT361" s="554"/>
      <c r="CU361" s="554"/>
      <c r="CV361" s="554"/>
      <c r="CW361" s="554"/>
      <c r="CX361" s="554"/>
      <c r="CY361" s="554"/>
      <c r="CZ361" s="554"/>
      <c r="DA361" s="554"/>
      <c r="DB361" s="554"/>
      <c r="DC361" s="554"/>
      <c r="DD361" s="554"/>
      <c r="DE361" s="534"/>
      <c r="DF361" s="534"/>
      <c r="DG361" s="534"/>
    </row>
    <row r="362" spans="1:111" ht="15" x14ac:dyDescent="0.25">
      <c r="A362" s="549">
        <f>IFERROR(IF(INDEX('Weather Cases'!$E$10:$E$94,MATCH('Load Criteria'!X362,'Weather Cases'!$H$10:$H$94,0),1)=1,1,"-"),"-")</f>
        <v>1</v>
      </c>
      <c r="B362" s="555" t="s">
        <v>558</v>
      </c>
      <c r="C362" s="556" t="str">
        <f>IF('Weather Cases'!$E$46=0,"","DC/SC")</f>
        <v>DC/SC</v>
      </c>
      <c r="D362" s="555" t="s">
        <v>579</v>
      </c>
      <c r="E362" s="556">
        <v>1</v>
      </c>
      <c r="F362" s="556" t="s">
        <v>22</v>
      </c>
      <c r="G362" s="556" t="str">
        <f>IFERROR(IF(MID('Load Criteria'!X362,FIND("_",'Load Criteria'!X362,1)+1,1)=LEFT(Control!$D$23,1),"YES","-"),"-")</f>
        <v>-</v>
      </c>
      <c r="H362" s="549" t="str">
        <f>IF(INDEX('Weather Cases'!$G$10:$G$94,MATCH('Load Criteria'!X362,'Weather Cases'!$H$10:$H$94,0),1)="H","YES","")</f>
        <v>YES</v>
      </c>
      <c r="I362" s="557" t="s">
        <v>333</v>
      </c>
      <c r="J362" s="550">
        <f>Control!$D$25</f>
        <v>1</v>
      </c>
      <c r="K362" s="508" t="s">
        <v>571</v>
      </c>
      <c r="L362" s="508" t="s">
        <v>24</v>
      </c>
      <c r="M362" s="508">
        <v>1</v>
      </c>
      <c r="N362" s="508"/>
      <c r="O362" s="508"/>
      <c r="P362" s="395"/>
      <c r="Q362" s="395"/>
      <c r="R362" s="395"/>
      <c r="S362" s="395"/>
      <c r="T362" s="395"/>
      <c r="U362" s="255" t="s">
        <v>568</v>
      </c>
      <c r="V362" s="551" t="s">
        <v>300</v>
      </c>
      <c r="W362" s="542" t="str">
        <f t="shared" si="494"/>
        <v>RI0001_8+TA1 NA+</v>
      </c>
      <c r="X362" s="552" t="str">
        <f>I362&amp;TEXT(J362,"0000")&amp;"_"&amp;LEFT(Control!$D$22,LEN(Control!$D$22)-2)</f>
        <v>RI0001_8</v>
      </c>
      <c r="Y362" s="552" t="s">
        <v>433</v>
      </c>
      <c r="Z362" s="552" t="str">
        <f>U362</f>
        <v>NA+</v>
      </c>
      <c r="AA362" s="552"/>
      <c r="AB362" s="552">
        <v>1</v>
      </c>
      <c r="AC362" s="552">
        <v>1</v>
      </c>
      <c r="AD362" s="552">
        <v>1</v>
      </c>
      <c r="AE362" s="552">
        <v>1</v>
      </c>
      <c r="AF362" s="552">
        <v>1</v>
      </c>
      <c r="AG362" s="542" t="s">
        <v>561</v>
      </c>
      <c r="AH362" s="552">
        <v>0</v>
      </c>
      <c r="AI362" s="552">
        <v>0</v>
      </c>
      <c r="AJ362" s="552">
        <v>1</v>
      </c>
      <c r="AK362" s="552">
        <v>1</v>
      </c>
      <c r="AL362" s="552">
        <v>1</v>
      </c>
      <c r="AM362" s="552">
        <v>0</v>
      </c>
      <c r="AN362" s="552">
        <v>0</v>
      </c>
      <c r="AO362" s="552">
        <v>1</v>
      </c>
      <c r="AP362" s="552">
        <v>1</v>
      </c>
      <c r="AQ362" s="552">
        <v>1</v>
      </c>
      <c r="AR362" s="552">
        <v>1</v>
      </c>
      <c r="AS362" s="552">
        <v>1</v>
      </c>
      <c r="AT362" s="552">
        <v>1</v>
      </c>
      <c r="AU362" s="552">
        <v>1</v>
      </c>
      <c r="AV362" s="592" t="s">
        <v>1132</v>
      </c>
      <c r="AW362" s="552" t="s">
        <v>562</v>
      </c>
      <c r="AX362" s="552"/>
      <c r="AY362" s="552" t="str">
        <f t="shared" si="527"/>
        <v>Yes</v>
      </c>
      <c r="AZ362" s="554" t="str">
        <f>IF($M362="","",$M362&amp;":1:"&amp;IF($L362="A","Ahead","Back"))</f>
        <v>1:1:Ahead</v>
      </c>
      <c r="BA362" s="554" t="str">
        <f>IF(AZ362="","","Broken Wire (# Broken Subconductors)")</f>
        <v>Broken Wire (# Broken Subconductors)</v>
      </c>
      <c r="BB362" s="552">
        <f>IF(AZ362="","",4)</f>
        <v>4</v>
      </c>
      <c r="BC362" s="554" t="str">
        <f>IF($M362="","",$M362+10&amp;":1:"&amp;IF($L362="A","Ahead","Back"))</f>
        <v>11:1:Ahead</v>
      </c>
      <c r="BD362" s="554" t="str">
        <f>IF(BC362="","","Broken Wire (# Broken Subconductors)")</f>
        <v>Broken Wire (# Broken Subconductors)</v>
      </c>
      <c r="BE362" s="552">
        <f>IF(BC362="","",4)</f>
        <v>4</v>
      </c>
      <c r="BF362" s="554" t="str">
        <f>IF($N362="","",$N362&amp;":1:"&amp;IF($L362="A","Back","Ahead"))</f>
        <v/>
      </c>
      <c r="BG362" s="554" t="str">
        <f>IF(BF362="","","Broken Wire (# Broken Subconductors)")</f>
        <v/>
      </c>
      <c r="BH362" s="552" t="str">
        <f>IF(BF362="","",4)</f>
        <v/>
      </c>
      <c r="BI362" s="554" t="str">
        <f>IF($N362="","",$N362+10&amp;":1:"&amp;IF($L362="A","Ahead","Back"))</f>
        <v/>
      </c>
      <c r="BJ362" s="554" t="str">
        <f>IF(BI362="","","Broken Wire (# Broken Subconductors)")</f>
        <v/>
      </c>
      <c r="BK362" s="552" t="str">
        <f>IF(BI362="","",4)</f>
        <v/>
      </c>
      <c r="BL362" s="554" t="str">
        <f>IF($O362="","",$O362&amp;":1:"&amp;IF($L362="A","Ahead","Back"))</f>
        <v/>
      </c>
      <c r="BM362" s="554" t="str">
        <f>IF(BL362="","","Broken Wire (# Broken Subconductors)")</f>
        <v/>
      </c>
      <c r="BN362" s="552" t="str">
        <f>IF(BL362="","",4)</f>
        <v/>
      </c>
      <c r="BO362" s="554" t="str">
        <f>IF($O362="","",$O362+10&amp;":1:"&amp;IF($L362="A","Ahead","Back"))</f>
        <v/>
      </c>
      <c r="BP362" s="554" t="str">
        <f>IF(BO362="","","Broken Wire (# Broken Subconductors)")</f>
        <v/>
      </c>
      <c r="BQ362" s="552" t="str">
        <f>IF(BO362="","",4)</f>
        <v/>
      </c>
      <c r="BR362" s="554"/>
      <c r="BS362" s="554"/>
      <c r="BT362" s="554"/>
      <c r="BU362" s="554"/>
      <c r="BV362" s="554"/>
      <c r="BW362" s="554"/>
      <c r="BX362" s="554"/>
      <c r="BY362" s="554"/>
      <c r="BZ362" s="554"/>
      <c r="CA362" s="554"/>
      <c r="CB362" s="554"/>
      <c r="CC362" s="554"/>
      <c r="CD362" s="554"/>
      <c r="CE362" s="554"/>
      <c r="CF362" s="554"/>
      <c r="CG362" s="554"/>
      <c r="CH362" s="554"/>
      <c r="CI362" s="554"/>
      <c r="CJ362" s="554"/>
      <c r="CK362" s="554"/>
      <c r="CL362" s="554"/>
      <c r="CM362" s="554"/>
      <c r="CN362" s="554"/>
      <c r="CO362" s="554"/>
      <c r="CP362" s="554"/>
      <c r="CQ362" s="554"/>
      <c r="CR362" s="554"/>
      <c r="CS362" s="554"/>
      <c r="CT362" s="554"/>
      <c r="CU362" s="554"/>
      <c r="CV362" s="554"/>
      <c r="CW362" s="554"/>
      <c r="CX362" s="554"/>
      <c r="CY362" s="554"/>
      <c r="CZ362" s="554"/>
      <c r="DA362" s="554"/>
      <c r="DB362" s="554"/>
      <c r="DC362" s="554"/>
      <c r="DD362" s="554"/>
      <c r="DE362" s="534"/>
      <c r="DF362" s="534"/>
      <c r="DG362" s="534"/>
    </row>
    <row r="363" spans="1:111" ht="15" x14ac:dyDescent="0.25">
      <c r="A363" s="549">
        <f>IFERROR(IF(INDEX('Weather Cases'!$E$10:$E$94,MATCH('Load Criteria'!X363,'Weather Cases'!$H$10:$H$94,0),1)=1,1,"-"),"-")</f>
        <v>1</v>
      </c>
      <c r="B363" s="555" t="s">
        <v>558</v>
      </c>
      <c r="C363" s="556" t="str">
        <f>IF('Weather Cases'!$E$46=0,"","DC/SC")</f>
        <v>DC/SC</v>
      </c>
      <c r="D363" s="555" t="s">
        <v>579</v>
      </c>
      <c r="E363" s="556">
        <v>1</v>
      </c>
      <c r="F363" s="556" t="s">
        <v>22</v>
      </c>
      <c r="G363" s="556" t="str">
        <f>IFERROR(IF(MID('Load Criteria'!X363,FIND("_",'Load Criteria'!X363,1)+1,1)=LEFT(Control!$D$23,1),"YES","-"),"-")</f>
        <v>-</v>
      </c>
      <c r="H363" s="549" t="str">
        <f>IF(INDEX('Weather Cases'!$G$10:$G$94,MATCH('Load Criteria'!X363,'Weather Cases'!$H$10:$H$94,0),1)="H","YES","")</f>
        <v>YES</v>
      </c>
      <c r="I363" s="557" t="s">
        <v>333</v>
      </c>
      <c r="J363" s="550">
        <f>Control!$D$25</f>
        <v>1</v>
      </c>
      <c r="K363" s="508" t="s">
        <v>571</v>
      </c>
      <c r="L363" s="508" t="s">
        <v>40</v>
      </c>
      <c r="M363" s="508">
        <v>1</v>
      </c>
      <c r="N363" s="508"/>
      <c r="O363" s="508"/>
      <c r="P363" s="395"/>
      <c r="Q363" s="395"/>
      <c r="R363" s="395"/>
      <c r="S363" s="395"/>
      <c r="T363" s="395"/>
      <c r="U363" s="255" t="s">
        <v>568</v>
      </c>
      <c r="V363" s="551"/>
      <c r="W363" s="542" t="str">
        <f t="shared" si="494"/>
        <v>RI0001_8+TB1 NA+</v>
      </c>
      <c r="X363" s="552" t="str">
        <f>I363&amp;TEXT(J363,"0000")&amp;"_"&amp;LEFT(Control!$D$22,LEN(Control!$D$22)-2)</f>
        <v>RI0001_8</v>
      </c>
      <c r="Y363" s="552" t="s">
        <v>433</v>
      </c>
      <c r="Z363" s="552" t="str">
        <f t="shared" ref="Z363:Z413" si="529">U363</f>
        <v>NA+</v>
      </c>
      <c r="AA363" s="552"/>
      <c r="AB363" s="552">
        <v>1</v>
      </c>
      <c r="AC363" s="552">
        <v>1</v>
      </c>
      <c r="AD363" s="552">
        <v>1</v>
      </c>
      <c r="AE363" s="552">
        <v>1</v>
      </c>
      <c r="AF363" s="552">
        <v>1</v>
      </c>
      <c r="AG363" s="542" t="s">
        <v>561</v>
      </c>
      <c r="AH363" s="552">
        <v>0</v>
      </c>
      <c r="AI363" s="552">
        <v>0</v>
      </c>
      <c r="AJ363" s="552">
        <v>1</v>
      </c>
      <c r="AK363" s="552">
        <v>1</v>
      </c>
      <c r="AL363" s="552">
        <v>1</v>
      </c>
      <c r="AM363" s="552">
        <v>0</v>
      </c>
      <c r="AN363" s="552">
        <v>0</v>
      </c>
      <c r="AO363" s="552">
        <v>1</v>
      </c>
      <c r="AP363" s="552">
        <v>1</v>
      </c>
      <c r="AQ363" s="552">
        <v>1</v>
      </c>
      <c r="AR363" s="552">
        <v>1</v>
      </c>
      <c r="AS363" s="552">
        <v>1</v>
      </c>
      <c r="AT363" s="552">
        <v>1</v>
      </c>
      <c r="AU363" s="552">
        <v>1</v>
      </c>
      <c r="AV363" s="592" t="s">
        <v>1132</v>
      </c>
      <c r="AW363" s="552" t="s">
        <v>562</v>
      </c>
      <c r="AX363" s="552"/>
      <c r="AY363" s="552" t="str">
        <f t="shared" si="527"/>
        <v>Yes</v>
      </c>
      <c r="AZ363" s="554" t="str">
        <f t="shared" ref="AZ363:AZ413" si="530">IF($M363="","",$M363&amp;":1:"&amp;IF($L363="A","Ahead","Back"))</f>
        <v>1:1:Back</v>
      </c>
      <c r="BA363" s="554" t="str">
        <f t="shared" ref="BA363:BA413" si="531">IF(AZ363="","","Broken Wire (# Broken Subconductors)")</f>
        <v>Broken Wire (# Broken Subconductors)</v>
      </c>
      <c r="BB363" s="552">
        <f t="shared" ref="BB363:BB413" si="532">IF(AZ363="","",4)</f>
        <v>4</v>
      </c>
      <c r="BC363" s="554" t="str">
        <f t="shared" ref="BC363:BC413" si="533">IF($M363="","",$M363+10&amp;":1:"&amp;IF($L363="A","Ahead","Back"))</f>
        <v>11:1:Back</v>
      </c>
      <c r="BD363" s="554" t="str">
        <f t="shared" ref="BD363:BD413" si="534">IF(BC363="","","Broken Wire (# Broken Subconductors)")</f>
        <v>Broken Wire (# Broken Subconductors)</v>
      </c>
      <c r="BE363" s="552">
        <f t="shared" ref="BE363:BE413" si="535">IF(BC363="","",4)</f>
        <v>4</v>
      </c>
      <c r="BF363" s="554" t="str">
        <f t="shared" ref="BF363:BF381" si="536">IF($N363="","",$N363&amp;":1:"&amp;IF($L363="A","Back","Ahead"))</f>
        <v/>
      </c>
      <c r="BG363" s="554" t="str">
        <f t="shared" ref="BG363:BG413" si="537">IF(BF363="","","Broken Wire (# Broken Subconductors)")</f>
        <v/>
      </c>
      <c r="BH363" s="552" t="str">
        <f t="shared" ref="BH363:BH413" si="538">IF(BF363="","",4)</f>
        <v/>
      </c>
      <c r="BI363" s="554" t="str">
        <f t="shared" ref="BI363:BI413" si="539">IF($N363="","",$N363+10&amp;":1:"&amp;IF($L363="A","Ahead","Back"))</f>
        <v/>
      </c>
      <c r="BJ363" s="554" t="str">
        <f t="shared" ref="BJ363:BJ413" si="540">IF(BI363="","","Broken Wire (# Broken Subconductors)")</f>
        <v/>
      </c>
      <c r="BK363" s="552" t="str">
        <f t="shared" ref="BK363:BK413" si="541">IF(BI363="","",4)</f>
        <v/>
      </c>
      <c r="BL363" s="554" t="str">
        <f t="shared" ref="BL363:BL413" si="542">IF($O363="","",$O363&amp;":1:"&amp;IF($L363="A","Ahead","Back"))</f>
        <v/>
      </c>
      <c r="BM363" s="554" t="str">
        <f t="shared" ref="BM363:BM413" si="543">IF(BL363="","","Broken Wire (# Broken Subconductors)")</f>
        <v/>
      </c>
      <c r="BN363" s="552" t="str">
        <f t="shared" ref="BN363:BN413" si="544">IF(BL363="","",4)</f>
        <v/>
      </c>
      <c r="BO363" s="554" t="str">
        <f t="shared" ref="BO363:BO413" si="545">IF($O363="","",$O363+10&amp;":1:"&amp;IF($L363="A","Ahead","Back"))</f>
        <v/>
      </c>
      <c r="BP363" s="554" t="str">
        <f t="shared" ref="BP363:BP413" si="546">IF(BO363="","","Broken Wire (# Broken Subconductors)")</f>
        <v/>
      </c>
      <c r="BQ363" s="552" t="str">
        <f t="shared" ref="BQ363:BQ413" si="547">IF(BO363="","",4)</f>
        <v/>
      </c>
      <c r="BR363" s="554"/>
      <c r="BS363" s="554"/>
      <c r="BT363" s="554"/>
      <c r="BU363" s="554"/>
      <c r="BV363" s="554"/>
      <c r="BW363" s="554"/>
      <c r="BX363" s="554"/>
      <c r="BY363" s="554"/>
      <c r="BZ363" s="554"/>
      <c r="CA363" s="554"/>
      <c r="CB363" s="554"/>
      <c r="CC363" s="554"/>
      <c r="CD363" s="554"/>
      <c r="CE363" s="554"/>
      <c r="CF363" s="554"/>
      <c r="CG363" s="554"/>
      <c r="CH363" s="554"/>
      <c r="CI363" s="554"/>
      <c r="CJ363" s="554"/>
      <c r="CK363" s="554"/>
      <c r="CL363" s="554"/>
      <c r="CM363" s="554"/>
      <c r="CN363" s="554"/>
      <c r="CO363" s="554"/>
      <c r="CP363" s="554"/>
      <c r="CQ363" s="554"/>
      <c r="CR363" s="554"/>
      <c r="CS363" s="554"/>
      <c r="CT363" s="554"/>
      <c r="CU363" s="554"/>
      <c r="CV363" s="554"/>
      <c r="CW363" s="554"/>
      <c r="CX363" s="554"/>
      <c r="CY363" s="554"/>
      <c r="CZ363" s="554"/>
      <c r="DA363" s="554"/>
      <c r="DB363" s="554"/>
      <c r="DC363" s="554"/>
      <c r="DD363" s="554"/>
      <c r="DE363" s="534"/>
      <c r="DF363" s="534"/>
      <c r="DG363" s="534"/>
    </row>
    <row r="364" spans="1:111" ht="15" x14ac:dyDescent="0.25">
      <c r="A364" s="549">
        <f>IFERROR(IF(INDEX('Weather Cases'!$E$10:$E$94,MATCH('Load Criteria'!X364,'Weather Cases'!$H$10:$H$94,0),1)=1,1,"-"),"-")</f>
        <v>1</v>
      </c>
      <c r="B364" s="555" t="s">
        <v>558</v>
      </c>
      <c r="C364" s="556" t="str">
        <f>IF('Weather Cases'!$E$46=0,"","DC/SC")</f>
        <v>DC/SC</v>
      </c>
      <c r="D364" s="555" t="s">
        <v>579</v>
      </c>
      <c r="E364" s="556">
        <v>1</v>
      </c>
      <c r="F364" s="556" t="s">
        <v>22</v>
      </c>
      <c r="G364" s="556" t="str">
        <f>IFERROR(IF(MID('Load Criteria'!X364,FIND("_",'Load Criteria'!X364,1)+1,1)=LEFT(Control!$D$23,1),"YES","-"),"-")</f>
        <v>-</v>
      </c>
      <c r="H364" s="549" t="str">
        <f>IF(INDEX('Weather Cases'!$G$10:$G$94,MATCH('Load Criteria'!X364,'Weather Cases'!$H$10:$H$94,0),1)="H","YES","")</f>
        <v>YES</v>
      </c>
      <c r="I364" s="557" t="s">
        <v>333</v>
      </c>
      <c r="J364" s="550">
        <f>Control!$D$25</f>
        <v>1</v>
      </c>
      <c r="K364" s="508" t="s">
        <v>571</v>
      </c>
      <c r="L364" s="508" t="s">
        <v>24</v>
      </c>
      <c r="M364" s="508">
        <v>2</v>
      </c>
      <c r="N364" s="508"/>
      <c r="O364" s="508"/>
      <c r="P364" s="395"/>
      <c r="Q364" s="395"/>
      <c r="R364" s="395"/>
      <c r="S364" s="395"/>
      <c r="T364" s="395"/>
      <c r="U364" s="255" t="s">
        <v>568</v>
      </c>
      <c r="V364" s="551"/>
      <c r="W364" s="542" t="str">
        <f t="shared" si="494"/>
        <v>RI0001_8+TA2 NA+</v>
      </c>
      <c r="X364" s="552" t="str">
        <f>I364&amp;TEXT(J364,"0000")&amp;"_"&amp;LEFT(Control!$D$22,LEN(Control!$D$22)-2)</f>
        <v>RI0001_8</v>
      </c>
      <c r="Y364" s="552" t="s">
        <v>433</v>
      </c>
      <c r="Z364" s="552" t="str">
        <f t="shared" si="529"/>
        <v>NA+</v>
      </c>
      <c r="AA364" s="552"/>
      <c r="AB364" s="552">
        <v>1</v>
      </c>
      <c r="AC364" s="552">
        <v>1</v>
      </c>
      <c r="AD364" s="552">
        <v>1</v>
      </c>
      <c r="AE364" s="552">
        <v>1</v>
      </c>
      <c r="AF364" s="552">
        <v>1</v>
      </c>
      <c r="AG364" s="542" t="s">
        <v>561</v>
      </c>
      <c r="AH364" s="552">
        <v>0</v>
      </c>
      <c r="AI364" s="552">
        <v>0</v>
      </c>
      <c r="AJ364" s="552">
        <v>1</v>
      </c>
      <c r="AK364" s="552">
        <v>1</v>
      </c>
      <c r="AL364" s="552">
        <v>1</v>
      </c>
      <c r="AM364" s="552">
        <v>0</v>
      </c>
      <c r="AN364" s="552">
        <v>0</v>
      </c>
      <c r="AO364" s="552">
        <v>1</v>
      </c>
      <c r="AP364" s="552">
        <v>1</v>
      </c>
      <c r="AQ364" s="552">
        <v>1</v>
      </c>
      <c r="AR364" s="552">
        <v>1</v>
      </c>
      <c r="AS364" s="552">
        <v>1</v>
      </c>
      <c r="AT364" s="552">
        <v>1</v>
      </c>
      <c r="AU364" s="552">
        <v>1</v>
      </c>
      <c r="AV364" s="592" t="s">
        <v>1132</v>
      </c>
      <c r="AW364" s="552" t="s">
        <v>562</v>
      </c>
      <c r="AX364" s="552"/>
      <c r="AY364" s="552" t="str">
        <f t="shared" si="527"/>
        <v>Yes</v>
      </c>
      <c r="AZ364" s="554" t="str">
        <f t="shared" si="530"/>
        <v>2:1:Ahead</v>
      </c>
      <c r="BA364" s="554" t="str">
        <f t="shared" si="531"/>
        <v>Broken Wire (# Broken Subconductors)</v>
      </c>
      <c r="BB364" s="552">
        <f t="shared" si="532"/>
        <v>4</v>
      </c>
      <c r="BC364" s="554" t="str">
        <f t="shared" si="533"/>
        <v>12:1:Ahead</v>
      </c>
      <c r="BD364" s="554" t="str">
        <f t="shared" si="534"/>
        <v>Broken Wire (# Broken Subconductors)</v>
      </c>
      <c r="BE364" s="552">
        <f t="shared" si="535"/>
        <v>4</v>
      </c>
      <c r="BF364" s="554" t="str">
        <f t="shared" si="536"/>
        <v/>
      </c>
      <c r="BG364" s="554" t="str">
        <f t="shared" si="537"/>
        <v/>
      </c>
      <c r="BH364" s="552" t="str">
        <f t="shared" si="538"/>
        <v/>
      </c>
      <c r="BI364" s="554" t="str">
        <f t="shared" si="539"/>
        <v/>
      </c>
      <c r="BJ364" s="554" t="str">
        <f t="shared" si="540"/>
        <v/>
      </c>
      <c r="BK364" s="552" t="str">
        <f t="shared" si="541"/>
        <v/>
      </c>
      <c r="BL364" s="554" t="str">
        <f t="shared" si="542"/>
        <v/>
      </c>
      <c r="BM364" s="554" t="str">
        <f t="shared" si="543"/>
        <v/>
      </c>
      <c r="BN364" s="552" t="str">
        <f t="shared" si="544"/>
        <v/>
      </c>
      <c r="BO364" s="554" t="str">
        <f t="shared" si="545"/>
        <v/>
      </c>
      <c r="BP364" s="554" t="str">
        <f t="shared" si="546"/>
        <v/>
      </c>
      <c r="BQ364" s="552" t="str">
        <f t="shared" si="547"/>
        <v/>
      </c>
      <c r="BR364" s="554"/>
      <c r="BS364" s="554"/>
      <c r="BT364" s="554"/>
      <c r="BU364" s="554"/>
      <c r="BV364" s="554"/>
      <c r="BW364" s="554"/>
      <c r="BX364" s="554"/>
      <c r="BY364" s="554"/>
      <c r="BZ364" s="554"/>
      <c r="CA364" s="554"/>
      <c r="CB364" s="554"/>
      <c r="CC364" s="554"/>
      <c r="CD364" s="554"/>
      <c r="CE364" s="554"/>
      <c r="CF364" s="554"/>
      <c r="CG364" s="554"/>
      <c r="CH364" s="554"/>
      <c r="CI364" s="554"/>
      <c r="CJ364" s="554"/>
      <c r="CK364" s="554"/>
      <c r="CL364" s="554"/>
      <c r="CM364" s="554"/>
      <c r="CN364" s="554"/>
      <c r="CO364" s="554"/>
      <c r="CP364" s="554"/>
      <c r="CQ364" s="554"/>
      <c r="CR364" s="554"/>
      <c r="CS364" s="554"/>
      <c r="CT364" s="554"/>
      <c r="CU364" s="554"/>
      <c r="CV364" s="554"/>
      <c r="CW364" s="554"/>
      <c r="CX364" s="554"/>
      <c r="CY364" s="554"/>
      <c r="CZ364" s="554"/>
      <c r="DA364" s="554"/>
      <c r="DB364" s="554"/>
      <c r="DC364" s="554"/>
      <c r="DD364" s="554"/>
      <c r="DE364" s="534"/>
      <c r="DF364" s="534"/>
      <c r="DG364" s="534"/>
    </row>
    <row r="365" spans="1:111" ht="15" x14ac:dyDescent="0.25">
      <c r="A365" s="549">
        <f>IFERROR(IF(INDEX('Weather Cases'!$E$10:$E$94,MATCH('Load Criteria'!X365,'Weather Cases'!$H$10:$H$94,0),1)=1,1,"-"),"-")</f>
        <v>1</v>
      </c>
      <c r="B365" s="555" t="s">
        <v>558</v>
      </c>
      <c r="C365" s="556" t="str">
        <f>IF('Weather Cases'!$E$46=0,"","DC/SC")</f>
        <v>DC/SC</v>
      </c>
      <c r="D365" s="555" t="s">
        <v>579</v>
      </c>
      <c r="E365" s="556">
        <v>1</v>
      </c>
      <c r="F365" s="556" t="s">
        <v>22</v>
      </c>
      <c r="G365" s="556" t="str">
        <f>IFERROR(IF(MID('Load Criteria'!X365,FIND("_",'Load Criteria'!X365,1)+1,1)=LEFT(Control!$D$23,1),"YES","-"),"-")</f>
        <v>-</v>
      </c>
      <c r="H365" s="549" t="str">
        <f>IF(INDEX('Weather Cases'!$G$10:$G$94,MATCH('Load Criteria'!X365,'Weather Cases'!$H$10:$H$94,0),1)="H","YES","")</f>
        <v>YES</v>
      </c>
      <c r="I365" s="557" t="s">
        <v>333</v>
      </c>
      <c r="J365" s="550">
        <f>Control!$D$25</f>
        <v>1</v>
      </c>
      <c r="K365" s="508" t="s">
        <v>571</v>
      </c>
      <c r="L365" s="508" t="s">
        <v>40</v>
      </c>
      <c r="M365" s="508">
        <v>2</v>
      </c>
      <c r="N365" s="508"/>
      <c r="O365" s="508"/>
      <c r="P365" s="395"/>
      <c r="Q365" s="395"/>
      <c r="R365" s="395"/>
      <c r="S365" s="395"/>
      <c r="T365" s="395"/>
      <c r="U365" s="255" t="s">
        <v>568</v>
      </c>
      <c r="V365" s="551"/>
      <c r="W365" s="542" t="str">
        <f t="shared" si="494"/>
        <v>RI0001_8+TB2 NA+</v>
      </c>
      <c r="X365" s="552" t="str">
        <f>I365&amp;TEXT(J365,"0000")&amp;"_"&amp;LEFT(Control!$D$22,LEN(Control!$D$22)-2)</f>
        <v>RI0001_8</v>
      </c>
      <c r="Y365" s="552" t="s">
        <v>433</v>
      </c>
      <c r="Z365" s="552" t="str">
        <f t="shared" si="529"/>
        <v>NA+</v>
      </c>
      <c r="AA365" s="552"/>
      <c r="AB365" s="552">
        <v>1</v>
      </c>
      <c r="AC365" s="552">
        <v>1</v>
      </c>
      <c r="AD365" s="552">
        <v>1</v>
      </c>
      <c r="AE365" s="552">
        <v>1</v>
      </c>
      <c r="AF365" s="552">
        <v>1</v>
      </c>
      <c r="AG365" s="542" t="s">
        <v>561</v>
      </c>
      <c r="AH365" s="552">
        <v>0</v>
      </c>
      <c r="AI365" s="552">
        <v>0</v>
      </c>
      <c r="AJ365" s="552">
        <v>1</v>
      </c>
      <c r="AK365" s="552">
        <v>1</v>
      </c>
      <c r="AL365" s="552">
        <v>1</v>
      </c>
      <c r="AM365" s="552">
        <v>0</v>
      </c>
      <c r="AN365" s="552">
        <v>0</v>
      </c>
      <c r="AO365" s="552">
        <v>1</v>
      </c>
      <c r="AP365" s="552">
        <v>1</v>
      </c>
      <c r="AQ365" s="552">
        <v>1</v>
      </c>
      <c r="AR365" s="552">
        <v>1</v>
      </c>
      <c r="AS365" s="552">
        <v>1</v>
      </c>
      <c r="AT365" s="552">
        <v>1</v>
      </c>
      <c r="AU365" s="552">
        <v>1</v>
      </c>
      <c r="AV365" s="592" t="s">
        <v>1132</v>
      </c>
      <c r="AW365" s="552" t="s">
        <v>562</v>
      </c>
      <c r="AX365" s="552"/>
      <c r="AY365" s="552" t="str">
        <f t="shared" si="527"/>
        <v>Yes</v>
      </c>
      <c r="AZ365" s="554" t="str">
        <f t="shared" si="530"/>
        <v>2:1:Back</v>
      </c>
      <c r="BA365" s="554" t="str">
        <f t="shared" si="531"/>
        <v>Broken Wire (# Broken Subconductors)</v>
      </c>
      <c r="BB365" s="552">
        <f t="shared" si="532"/>
        <v>4</v>
      </c>
      <c r="BC365" s="554" t="str">
        <f t="shared" si="533"/>
        <v>12:1:Back</v>
      </c>
      <c r="BD365" s="554" t="str">
        <f t="shared" si="534"/>
        <v>Broken Wire (# Broken Subconductors)</v>
      </c>
      <c r="BE365" s="552">
        <f t="shared" si="535"/>
        <v>4</v>
      </c>
      <c r="BF365" s="554" t="str">
        <f t="shared" si="536"/>
        <v/>
      </c>
      <c r="BG365" s="554" t="str">
        <f t="shared" si="537"/>
        <v/>
      </c>
      <c r="BH365" s="552" t="str">
        <f t="shared" si="538"/>
        <v/>
      </c>
      <c r="BI365" s="554" t="str">
        <f t="shared" si="539"/>
        <v/>
      </c>
      <c r="BJ365" s="554" t="str">
        <f t="shared" si="540"/>
        <v/>
      </c>
      <c r="BK365" s="552" t="str">
        <f t="shared" si="541"/>
        <v/>
      </c>
      <c r="BL365" s="554" t="str">
        <f t="shared" si="542"/>
        <v/>
      </c>
      <c r="BM365" s="554" t="str">
        <f t="shared" si="543"/>
        <v/>
      </c>
      <c r="BN365" s="552" t="str">
        <f t="shared" si="544"/>
        <v/>
      </c>
      <c r="BO365" s="554" t="str">
        <f t="shared" si="545"/>
        <v/>
      </c>
      <c r="BP365" s="554" t="str">
        <f t="shared" si="546"/>
        <v/>
      </c>
      <c r="BQ365" s="552" t="str">
        <f t="shared" si="547"/>
        <v/>
      </c>
      <c r="BR365" s="554"/>
      <c r="BS365" s="554"/>
      <c r="BT365" s="554"/>
      <c r="BU365" s="554"/>
      <c r="BV365" s="554"/>
      <c r="BW365" s="554"/>
      <c r="BX365" s="554"/>
      <c r="BY365" s="554"/>
      <c r="BZ365" s="554"/>
      <c r="CA365" s="554"/>
      <c r="CB365" s="554"/>
      <c r="CC365" s="554"/>
      <c r="CD365" s="554"/>
      <c r="CE365" s="554"/>
      <c r="CF365" s="554"/>
      <c r="CG365" s="554"/>
      <c r="CH365" s="554"/>
      <c r="CI365" s="554"/>
      <c r="CJ365" s="554"/>
      <c r="CK365" s="554"/>
      <c r="CL365" s="554"/>
      <c r="CM365" s="554"/>
      <c r="CN365" s="554"/>
      <c r="CO365" s="554"/>
      <c r="CP365" s="554"/>
      <c r="CQ365" s="554"/>
      <c r="CR365" s="554"/>
      <c r="CS365" s="554"/>
      <c r="CT365" s="554"/>
      <c r="CU365" s="554"/>
      <c r="CV365" s="554"/>
      <c r="CW365" s="554"/>
      <c r="CX365" s="554"/>
      <c r="CY365" s="554"/>
      <c r="CZ365" s="554"/>
      <c r="DA365" s="554"/>
      <c r="DB365" s="554"/>
      <c r="DC365" s="554"/>
      <c r="DD365" s="554"/>
      <c r="DE365" s="534"/>
      <c r="DF365" s="534"/>
      <c r="DG365" s="534"/>
    </row>
    <row r="366" spans="1:111" ht="15" x14ac:dyDescent="0.25">
      <c r="A366" s="549">
        <f>IFERROR(IF(INDEX('Weather Cases'!$E$10:$E$94,MATCH('Load Criteria'!X366,'Weather Cases'!$H$10:$H$94,0),1)=1,1,"-"),"-")</f>
        <v>1</v>
      </c>
      <c r="B366" s="555" t="s">
        <v>558</v>
      </c>
      <c r="C366" s="556" t="str">
        <f>IF('Weather Cases'!$E$46=0,"","DC/SC")</f>
        <v>DC/SC</v>
      </c>
      <c r="D366" s="555" t="s">
        <v>579</v>
      </c>
      <c r="E366" s="556">
        <v>1</v>
      </c>
      <c r="F366" s="556" t="s">
        <v>22</v>
      </c>
      <c r="G366" s="556" t="str">
        <f>IFERROR(IF(MID('Load Criteria'!X366,FIND("_",'Load Criteria'!X366,1)+1,1)=LEFT(Control!$D$23,1),"YES","-"),"-")</f>
        <v>-</v>
      </c>
      <c r="H366" s="549" t="str">
        <f>IF(INDEX('Weather Cases'!$G$10:$G$94,MATCH('Load Criteria'!X366,'Weather Cases'!$H$10:$H$94,0),1)="H","YES","")</f>
        <v>YES</v>
      </c>
      <c r="I366" s="557" t="s">
        <v>333</v>
      </c>
      <c r="J366" s="550">
        <f>Control!$D$25</f>
        <v>1</v>
      </c>
      <c r="K366" s="508" t="s">
        <v>571</v>
      </c>
      <c r="L366" s="508" t="s">
        <v>24</v>
      </c>
      <c r="M366" s="508">
        <v>3</v>
      </c>
      <c r="N366" s="508"/>
      <c r="O366" s="508"/>
      <c r="P366" s="395"/>
      <c r="Q366" s="395"/>
      <c r="R366" s="395"/>
      <c r="S366" s="395"/>
      <c r="T366" s="395"/>
      <c r="U366" s="255" t="s">
        <v>568</v>
      </c>
      <c r="V366" s="551"/>
      <c r="W366" s="542" t="str">
        <f t="shared" si="494"/>
        <v>RI0001_8+TA3 NA+</v>
      </c>
      <c r="X366" s="552" t="str">
        <f>I366&amp;TEXT(J366,"0000")&amp;"_"&amp;LEFT(Control!$D$22,LEN(Control!$D$22)-2)</f>
        <v>RI0001_8</v>
      </c>
      <c r="Y366" s="552" t="s">
        <v>433</v>
      </c>
      <c r="Z366" s="552" t="str">
        <f t="shared" si="529"/>
        <v>NA+</v>
      </c>
      <c r="AA366" s="552"/>
      <c r="AB366" s="552">
        <v>1</v>
      </c>
      <c r="AC366" s="552">
        <v>1</v>
      </c>
      <c r="AD366" s="552">
        <v>1</v>
      </c>
      <c r="AE366" s="552">
        <v>1</v>
      </c>
      <c r="AF366" s="552">
        <v>1</v>
      </c>
      <c r="AG366" s="542" t="s">
        <v>561</v>
      </c>
      <c r="AH366" s="552">
        <v>0</v>
      </c>
      <c r="AI366" s="552">
        <v>0</v>
      </c>
      <c r="AJ366" s="552">
        <v>1</v>
      </c>
      <c r="AK366" s="552">
        <v>1</v>
      </c>
      <c r="AL366" s="552">
        <v>1</v>
      </c>
      <c r="AM366" s="552">
        <v>0</v>
      </c>
      <c r="AN366" s="552">
        <v>0</v>
      </c>
      <c r="AO366" s="552">
        <v>1</v>
      </c>
      <c r="AP366" s="552">
        <v>1</v>
      </c>
      <c r="AQ366" s="552">
        <v>1</v>
      </c>
      <c r="AR366" s="552">
        <v>1</v>
      </c>
      <c r="AS366" s="552">
        <v>1</v>
      </c>
      <c r="AT366" s="552">
        <v>1</v>
      </c>
      <c r="AU366" s="552">
        <v>1</v>
      </c>
      <c r="AV366" s="592" t="s">
        <v>1132</v>
      </c>
      <c r="AW366" s="552" t="s">
        <v>562</v>
      </c>
      <c r="AX366" s="552"/>
      <c r="AY366" s="552" t="str">
        <f t="shared" si="527"/>
        <v>Yes</v>
      </c>
      <c r="AZ366" s="554" t="str">
        <f t="shared" si="530"/>
        <v>3:1:Ahead</v>
      </c>
      <c r="BA366" s="554" t="str">
        <f t="shared" si="531"/>
        <v>Broken Wire (# Broken Subconductors)</v>
      </c>
      <c r="BB366" s="552">
        <f t="shared" si="532"/>
        <v>4</v>
      </c>
      <c r="BC366" s="554" t="str">
        <f t="shared" si="533"/>
        <v>13:1:Ahead</v>
      </c>
      <c r="BD366" s="554" t="str">
        <f t="shared" si="534"/>
        <v>Broken Wire (# Broken Subconductors)</v>
      </c>
      <c r="BE366" s="552">
        <f t="shared" si="535"/>
        <v>4</v>
      </c>
      <c r="BF366" s="554" t="str">
        <f t="shared" si="536"/>
        <v/>
      </c>
      <c r="BG366" s="554" t="str">
        <f t="shared" si="537"/>
        <v/>
      </c>
      <c r="BH366" s="552" t="str">
        <f t="shared" si="538"/>
        <v/>
      </c>
      <c r="BI366" s="554" t="str">
        <f t="shared" si="539"/>
        <v/>
      </c>
      <c r="BJ366" s="554" t="str">
        <f t="shared" si="540"/>
        <v/>
      </c>
      <c r="BK366" s="552" t="str">
        <f t="shared" si="541"/>
        <v/>
      </c>
      <c r="BL366" s="554" t="str">
        <f t="shared" si="542"/>
        <v/>
      </c>
      <c r="BM366" s="554" t="str">
        <f t="shared" si="543"/>
        <v/>
      </c>
      <c r="BN366" s="552" t="str">
        <f t="shared" si="544"/>
        <v/>
      </c>
      <c r="BO366" s="554" t="str">
        <f t="shared" si="545"/>
        <v/>
      </c>
      <c r="BP366" s="554" t="str">
        <f t="shared" si="546"/>
        <v/>
      </c>
      <c r="BQ366" s="552" t="str">
        <f t="shared" si="547"/>
        <v/>
      </c>
      <c r="BR366" s="554"/>
      <c r="BS366" s="554"/>
      <c r="BT366" s="554"/>
      <c r="BU366" s="554"/>
      <c r="BV366" s="554"/>
      <c r="BW366" s="554"/>
      <c r="BX366" s="554"/>
      <c r="BY366" s="554"/>
      <c r="BZ366" s="554"/>
      <c r="CA366" s="554"/>
      <c r="CB366" s="554"/>
      <c r="CC366" s="554"/>
      <c r="CD366" s="554"/>
      <c r="CE366" s="554"/>
      <c r="CF366" s="554"/>
      <c r="CG366" s="554"/>
      <c r="CH366" s="554"/>
      <c r="CI366" s="554"/>
      <c r="CJ366" s="554"/>
      <c r="CK366" s="554"/>
      <c r="CL366" s="554"/>
      <c r="CM366" s="554"/>
      <c r="CN366" s="554"/>
      <c r="CO366" s="554"/>
      <c r="CP366" s="554"/>
      <c r="CQ366" s="554"/>
      <c r="CR366" s="554"/>
      <c r="CS366" s="554"/>
      <c r="CT366" s="554"/>
      <c r="CU366" s="554"/>
      <c r="CV366" s="554"/>
      <c r="CW366" s="554"/>
      <c r="CX366" s="554"/>
      <c r="CY366" s="554"/>
      <c r="CZ366" s="554"/>
      <c r="DA366" s="554"/>
      <c r="DB366" s="554"/>
      <c r="DC366" s="554"/>
      <c r="DD366" s="554"/>
      <c r="DE366" s="534"/>
      <c r="DF366" s="534"/>
      <c r="DG366" s="534"/>
    </row>
    <row r="367" spans="1:111" ht="15" x14ac:dyDescent="0.25">
      <c r="A367" s="549">
        <f>IFERROR(IF(INDEX('Weather Cases'!$E$10:$E$94,MATCH('Load Criteria'!X367,'Weather Cases'!$H$10:$H$94,0),1)=1,1,"-"),"-")</f>
        <v>1</v>
      </c>
      <c r="B367" s="555" t="s">
        <v>558</v>
      </c>
      <c r="C367" s="556" t="str">
        <f>IF('Weather Cases'!$E$46=0,"","DC/SC")</f>
        <v>DC/SC</v>
      </c>
      <c r="D367" s="555" t="s">
        <v>579</v>
      </c>
      <c r="E367" s="556">
        <v>1</v>
      </c>
      <c r="F367" s="556" t="s">
        <v>22</v>
      </c>
      <c r="G367" s="556" t="str">
        <f>IFERROR(IF(MID('Load Criteria'!X367,FIND("_",'Load Criteria'!X367,1)+1,1)=LEFT(Control!$D$23,1),"YES","-"),"-")</f>
        <v>-</v>
      </c>
      <c r="H367" s="549" t="str">
        <f>IF(INDEX('Weather Cases'!$G$10:$G$94,MATCH('Load Criteria'!X367,'Weather Cases'!$H$10:$H$94,0),1)="H","YES","")</f>
        <v>YES</v>
      </c>
      <c r="I367" s="557" t="s">
        <v>333</v>
      </c>
      <c r="J367" s="550">
        <f>Control!$D$25</f>
        <v>1</v>
      </c>
      <c r="K367" s="508" t="s">
        <v>571</v>
      </c>
      <c r="L367" s="508" t="s">
        <v>40</v>
      </c>
      <c r="M367" s="508">
        <v>3</v>
      </c>
      <c r="N367" s="508"/>
      <c r="O367" s="508"/>
      <c r="P367" s="395"/>
      <c r="Q367" s="395"/>
      <c r="R367" s="395"/>
      <c r="S367" s="395"/>
      <c r="T367" s="395"/>
      <c r="U367" s="255" t="s">
        <v>568</v>
      </c>
      <c r="V367" s="551"/>
      <c r="W367" s="542" t="str">
        <f t="shared" si="494"/>
        <v>RI0001_8+TB3 NA+</v>
      </c>
      <c r="X367" s="552" t="str">
        <f>I367&amp;TEXT(J367,"0000")&amp;"_"&amp;LEFT(Control!$D$22,LEN(Control!$D$22)-2)</f>
        <v>RI0001_8</v>
      </c>
      <c r="Y367" s="552" t="s">
        <v>433</v>
      </c>
      <c r="Z367" s="552" t="str">
        <f t="shared" si="529"/>
        <v>NA+</v>
      </c>
      <c r="AA367" s="552"/>
      <c r="AB367" s="552">
        <v>1</v>
      </c>
      <c r="AC367" s="552">
        <v>1</v>
      </c>
      <c r="AD367" s="552">
        <v>1</v>
      </c>
      <c r="AE367" s="552">
        <v>1</v>
      </c>
      <c r="AF367" s="552">
        <v>1</v>
      </c>
      <c r="AG367" s="542" t="s">
        <v>561</v>
      </c>
      <c r="AH367" s="552">
        <v>0</v>
      </c>
      <c r="AI367" s="552">
        <v>0</v>
      </c>
      <c r="AJ367" s="552">
        <v>1</v>
      </c>
      <c r="AK367" s="552">
        <v>1</v>
      </c>
      <c r="AL367" s="552">
        <v>1</v>
      </c>
      <c r="AM367" s="552">
        <v>0</v>
      </c>
      <c r="AN367" s="552">
        <v>0</v>
      </c>
      <c r="AO367" s="552">
        <v>1</v>
      </c>
      <c r="AP367" s="552">
        <v>1</v>
      </c>
      <c r="AQ367" s="552">
        <v>1</v>
      </c>
      <c r="AR367" s="552">
        <v>1</v>
      </c>
      <c r="AS367" s="552">
        <v>1</v>
      </c>
      <c r="AT367" s="552">
        <v>1</v>
      </c>
      <c r="AU367" s="552">
        <v>1</v>
      </c>
      <c r="AV367" s="592" t="s">
        <v>1132</v>
      </c>
      <c r="AW367" s="552" t="s">
        <v>562</v>
      </c>
      <c r="AX367" s="552"/>
      <c r="AY367" s="552" t="str">
        <f t="shared" si="527"/>
        <v>Yes</v>
      </c>
      <c r="AZ367" s="554" t="str">
        <f t="shared" si="530"/>
        <v>3:1:Back</v>
      </c>
      <c r="BA367" s="554" t="str">
        <f t="shared" si="531"/>
        <v>Broken Wire (# Broken Subconductors)</v>
      </c>
      <c r="BB367" s="552">
        <f t="shared" si="532"/>
        <v>4</v>
      </c>
      <c r="BC367" s="554" t="str">
        <f t="shared" si="533"/>
        <v>13:1:Back</v>
      </c>
      <c r="BD367" s="554" t="str">
        <f t="shared" si="534"/>
        <v>Broken Wire (# Broken Subconductors)</v>
      </c>
      <c r="BE367" s="552">
        <f t="shared" si="535"/>
        <v>4</v>
      </c>
      <c r="BF367" s="554" t="str">
        <f t="shared" si="536"/>
        <v/>
      </c>
      <c r="BG367" s="554" t="str">
        <f t="shared" si="537"/>
        <v/>
      </c>
      <c r="BH367" s="552" t="str">
        <f t="shared" si="538"/>
        <v/>
      </c>
      <c r="BI367" s="554" t="str">
        <f t="shared" si="539"/>
        <v/>
      </c>
      <c r="BJ367" s="554" t="str">
        <f t="shared" si="540"/>
        <v/>
      </c>
      <c r="BK367" s="552" t="str">
        <f t="shared" si="541"/>
        <v/>
      </c>
      <c r="BL367" s="554" t="str">
        <f t="shared" si="542"/>
        <v/>
      </c>
      <c r="BM367" s="554" t="str">
        <f t="shared" si="543"/>
        <v/>
      </c>
      <c r="BN367" s="552" t="str">
        <f t="shared" si="544"/>
        <v/>
      </c>
      <c r="BO367" s="554" t="str">
        <f t="shared" si="545"/>
        <v/>
      </c>
      <c r="BP367" s="554" t="str">
        <f t="shared" si="546"/>
        <v/>
      </c>
      <c r="BQ367" s="552" t="str">
        <f t="shared" si="547"/>
        <v/>
      </c>
      <c r="BR367" s="554"/>
      <c r="BS367" s="554"/>
      <c r="BT367" s="554"/>
      <c r="BU367" s="554"/>
      <c r="BV367" s="554"/>
      <c r="BW367" s="554"/>
      <c r="BX367" s="554"/>
      <c r="BY367" s="554"/>
      <c r="BZ367" s="554"/>
      <c r="CA367" s="554"/>
      <c r="CB367" s="554"/>
      <c r="CC367" s="554"/>
      <c r="CD367" s="554"/>
      <c r="CE367" s="554"/>
      <c r="CF367" s="554"/>
      <c r="CG367" s="554"/>
      <c r="CH367" s="554"/>
      <c r="CI367" s="554"/>
      <c r="CJ367" s="554"/>
      <c r="CK367" s="554"/>
      <c r="CL367" s="554"/>
      <c r="CM367" s="554"/>
      <c r="CN367" s="554"/>
      <c r="CO367" s="554"/>
      <c r="CP367" s="554"/>
      <c r="CQ367" s="554"/>
      <c r="CR367" s="554"/>
      <c r="CS367" s="554"/>
      <c r="CT367" s="554"/>
      <c r="CU367" s="554"/>
      <c r="CV367" s="554"/>
      <c r="CW367" s="554"/>
      <c r="CX367" s="554"/>
      <c r="CY367" s="554"/>
      <c r="CZ367" s="554"/>
      <c r="DA367" s="554"/>
      <c r="DB367" s="554"/>
      <c r="DC367" s="554"/>
      <c r="DD367" s="554"/>
      <c r="DE367" s="534"/>
      <c r="DF367" s="534"/>
      <c r="DG367" s="534"/>
    </row>
    <row r="368" spans="1:111" ht="15" x14ac:dyDescent="0.25">
      <c r="A368" s="549">
        <f>IFERROR(IF(INDEX('Weather Cases'!$E$10:$E$94,MATCH('Load Criteria'!X368,'Weather Cases'!$H$10:$H$94,0),1)=1,1,"-"),"-")</f>
        <v>1</v>
      </c>
      <c r="B368" s="555" t="s">
        <v>558</v>
      </c>
      <c r="C368" s="556" t="str">
        <f>IF('Weather Cases'!$E$46=0,"","DC/SC")</f>
        <v>DC/SC</v>
      </c>
      <c r="D368" s="555" t="s">
        <v>579</v>
      </c>
      <c r="E368" s="556">
        <v>1</v>
      </c>
      <c r="F368" s="556" t="s">
        <v>22</v>
      </c>
      <c r="G368" s="556" t="str">
        <f>IFERROR(IF(MID('Load Criteria'!X368,FIND("_",'Load Criteria'!X368,1)+1,1)=LEFT(Control!$D$23,1),"YES","-"),"-")</f>
        <v>-</v>
      </c>
      <c r="H368" s="549" t="str">
        <f>IF(INDEX('Weather Cases'!$G$10:$G$94,MATCH('Load Criteria'!X368,'Weather Cases'!$H$10:$H$94,0),1)="H","YES","")</f>
        <v>YES</v>
      </c>
      <c r="I368" s="557" t="s">
        <v>333</v>
      </c>
      <c r="J368" s="550">
        <f>Control!$D$25</f>
        <v>1</v>
      </c>
      <c r="K368" s="508" t="s">
        <v>571</v>
      </c>
      <c r="L368" s="508" t="s">
        <v>24</v>
      </c>
      <c r="M368" s="550">
        <v>7</v>
      </c>
      <c r="N368" s="550"/>
      <c r="O368" s="550"/>
      <c r="P368" s="392"/>
      <c r="Q368" s="392"/>
      <c r="R368" s="392"/>
      <c r="S368" s="392"/>
      <c r="T368" s="392"/>
      <c r="U368" s="255" t="s">
        <v>568</v>
      </c>
      <c r="V368" s="551"/>
      <c r="W368" s="542" t="str">
        <f t="shared" si="494"/>
        <v>RI0001_8+TA7 NA+</v>
      </c>
      <c r="X368" s="552" t="str">
        <f>I368&amp;TEXT(J368,"0000")&amp;"_"&amp;LEFT(Control!$D$22,LEN(Control!$D$22)-2)</f>
        <v>RI0001_8</v>
      </c>
      <c r="Y368" s="552" t="s">
        <v>433</v>
      </c>
      <c r="Z368" s="552" t="str">
        <f t="shared" si="529"/>
        <v>NA+</v>
      </c>
      <c r="AA368" s="552"/>
      <c r="AB368" s="552">
        <v>1</v>
      </c>
      <c r="AC368" s="552">
        <v>1</v>
      </c>
      <c r="AD368" s="552">
        <v>1</v>
      </c>
      <c r="AE368" s="552">
        <v>1</v>
      </c>
      <c r="AF368" s="552">
        <v>1</v>
      </c>
      <c r="AG368" s="542" t="s">
        <v>561</v>
      </c>
      <c r="AH368" s="552">
        <v>0</v>
      </c>
      <c r="AI368" s="552">
        <v>0</v>
      </c>
      <c r="AJ368" s="552">
        <v>1</v>
      </c>
      <c r="AK368" s="552">
        <v>1</v>
      </c>
      <c r="AL368" s="552">
        <v>1</v>
      </c>
      <c r="AM368" s="552">
        <v>0</v>
      </c>
      <c r="AN368" s="552">
        <v>0</v>
      </c>
      <c r="AO368" s="552">
        <v>1</v>
      </c>
      <c r="AP368" s="552">
        <v>1</v>
      </c>
      <c r="AQ368" s="552">
        <v>1</v>
      </c>
      <c r="AR368" s="552">
        <v>1</v>
      </c>
      <c r="AS368" s="552">
        <v>1</v>
      </c>
      <c r="AT368" s="552">
        <v>1</v>
      </c>
      <c r="AU368" s="552">
        <v>1</v>
      </c>
      <c r="AV368" s="592" t="s">
        <v>1132</v>
      </c>
      <c r="AW368" s="552" t="s">
        <v>562</v>
      </c>
      <c r="AX368" s="552"/>
      <c r="AY368" s="552" t="str">
        <f t="shared" si="527"/>
        <v>Yes</v>
      </c>
      <c r="AZ368" s="554" t="str">
        <f t="shared" si="530"/>
        <v>7:1:Ahead</v>
      </c>
      <c r="BA368" s="554" t="str">
        <f t="shared" si="531"/>
        <v>Broken Wire (# Broken Subconductors)</v>
      </c>
      <c r="BB368" s="552">
        <f t="shared" si="532"/>
        <v>4</v>
      </c>
      <c r="BC368" s="554" t="str">
        <f t="shared" si="533"/>
        <v>17:1:Ahead</v>
      </c>
      <c r="BD368" s="554" t="str">
        <f t="shared" si="534"/>
        <v>Broken Wire (# Broken Subconductors)</v>
      </c>
      <c r="BE368" s="552">
        <f t="shared" si="535"/>
        <v>4</v>
      </c>
      <c r="BF368" s="554" t="str">
        <f t="shared" si="536"/>
        <v/>
      </c>
      <c r="BG368" s="554" t="str">
        <f t="shared" si="537"/>
        <v/>
      </c>
      <c r="BH368" s="552" t="str">
        <f t="shared" si="538"/>
        <v/>
      </c>
      <c r="BI368" s="554" t="str">
        <f t="shared" si="539"/>
        <v/>
      </c>
      <c r="BJ368" s="554" t="str">
        <f t="shared" si="540"/>
        <v/>
      </c>
      <c r="BK368" s="552" t="str">
        <f t="shared" si="541"/>
        <v/>
      </c>
      <c r="BL368" s="554" t="str">
        <f t="shared" si="542"/>
        <v/>
      </c>
      <c r="BM368" s="554" t="str">
        <f t="shared" si="543"/>
        <v/>
      </c>
      <c r="BN368" s="552" t="str">
        <f t="shared" si="544"/>
        <v/>
      </c>
      <c r="BO368" s="554" t="str">
        <f t="shared" si="545"/>
        <v/>
      </c>
      <c r="BP368" s="554" t="str">
        <f t="shared" si="546"/>
        <v/>
      </c>
      <c r="BQ368" s="552" t="str">
        <f t="shared" si="547"/>
        <v/>
      </c>
      <c r="BR368" s="554"/>
      <c r="BS368" s="554"/>
      <c r="BT368" s="554"/>
      <c r="BU368" s="554"/>
      <c r="BV368" s="554"/>
      <c r="BW368" s="554"/>
      <c r="BX368" s="554"/>
      <c r="BY368" s="554"/>
      <c r="BZ368" s="554"/>
      <c r="CA368" s="554"/>
      <c r="CB368" s="554"/>
      <c r="CC368" s="554"/>
      <c r="CD368" s="554"/>
      <c r="CE368" s="554"/>
      <c r="CF368" s="554"/>
      <c r="CG368" s="554"/>
      <c r="CH368" s="554"/>
      <c r="CI368" s="554"/>
      <c r="CJ368" s="554"/>
      <c r="CK368" s="554"/>
      <c r="CL368" s="554"/>
      <c r="CM368" s="554"/>
      <c r="CN368" s="554"/>
      <c r="CO368" s="554"/>
      <c r="CP368" s="554"/>
      <c r="CQ368" s="554"/>
      <c r="CR368" s="554"/>
      <c r="CS368" s="554"/>
      <c r="CT368" s="554"/>
      <c r="CU368" s="554"/>
      <c r="CV368" s="554"/>
      <c r="CW368" s="554"/>
      <c r="CX368" s="554"/>
      <c r="CY368" s="554"/>
      <c r="CZ368" s="554"/>
      <c r="DA368" s="554"/>
      <c r="DB368" s="554"/>
      <c r="DC368" s="554"/>
      <c r="DD368" s="554"/>
      <c r="DE368" s="534"/>
      <c r="DF368" s="534"/>
      <c r="DG368" s="534"/>
    </row>
    <row r="369" spans="1:111" ht="15" x14ac:dyDescent="0.25">
      <c r="A369" s="549">
        <f>IFERROR(IF(INDEX('Weather Cases'!$E$10:$E$94,MATCH('Load Criteria'!X369,'Weather Cases'!$H$10:$H$94,0),1)=1,1,"-"),"-")</f>
        <v>1</v>
      </c>
      <c r="B369" s="555" t="s">
        <v>558</v>
      </c>
      <c r="C369" s="556" t="str">
        <f>IF('Weather Cases'!$E$46=0,"","DC/SC")</f>
        <v>DC/SC</v>
      </c>
      <c r="D369" s="555" t="s">
        <v>579</v>
      </c>
      <c r="E369" s="556">
        <v>1</v>
      </c>
      <c r="F369" s="556" t="s">
        <v>22</v>
      </c>
      <c r="G369" s="556" t="str">
        <f>IFERROR(IF(MID('Load Criteria'!X369,FIND("_",'Load Criteria'!X369,1)+1,1)=LEFT(Control!$D$23,1),"YES","-"),"-")</f>
        <v>-</v>
      </c>
      <c r="H369" s="549" t="str">
        <f>IF(INDEX('Weather Cases'!$G$10:$G$94,MATCH('Load Criteria'!X369,'Weather Cases'!$H$10:$H$94,0),1)="H","YES","")</f>
        <v>YES</v>
      </c>
      <c r="I369" s="557" t="s">
        <v>333</v>
      </c>
      <c r="J369" s="550">
        <f>Control!$D$25</f>
        <v>1</v>
      </c>
      <c r="K369" s="508" t="s">
        <v>571</v>
      </c>
      <c r="L369" s="508" t="s">
        <v>40</v>
      </c>
      <c r="M369" s="550">
        <v>7</v>
      </c>
      <c r="N369" s="550"/>
      <c r="O369" s="550"/>
      <c r="P369" s="392"/>
      <c r="Q369" s="392"/>
      <c r="R369" s="392"/>
      <c r="S369" s="392"/>
      <c r="T369" s="392"/>
      <c r="U369" s="255" t="s">
        <v>568</v>
      </c>
      <c r="V369" s="551"/>
      <c r="W369" s="542" t="str">
        <f t="shared" si="494"/>
        <v>RI0001_8+TB7 NA+</v>
      </c>
      <c r="X369" s="552" t="str">
        <f>I369&amp;TEXT(J369,"0000")&amp;"_"&amp;LEFT(Control!$D$22,LEN(Control!$D$22)-2)</f>
        <v>RI0001_8</v>
      </c>
      <c r="Y369" s="552" t="s">
        <v>433</v>
      </c>
      <c r="Z369" s="552" t="str">
        <f t="shared" si="529"/>
        <v>NA+</v>
      </c>
      <c r="AA369" s="552"/>
      <c r="AB369" s="552">
        <v>1</v>
      </c>
      <c r="AC369" s="552">
        <v>1</v>
      </c>
      <c r="AD369" s="552">
        <v>1</v>
      </c>
      <c r="AE369" s="552">
        <v>1</v>
      </c>
      <c r="AF369" s="552">
        <v>1</v>
      </c>
      <c r="AG369" s="542" t="s">
        <v>561</v>
      </c>
      <c r="AH369" s="552">
        <v>0</v>
      </c>
      <c r="AI369" s="552">
        <v>0</v>
      </c>
      <c r="AJ369" s="552">
        <v>1</v>
      </c>
      <c r="AK369" s="552">
        <v>1</v>
      </c>
      <c r="AL369" s="552">
        <v>1</v>
      </c>
      <c r="AM369" s="552">
        <v>0</v>
      </c>
      <c r="AN369" s="552">
        <v>0</v>
      </c>
      <c r="AO369" s="552">
        <v>1</v>
      </c>
      <c r="AP369" s="552">
        <v>1</v>
      </c>
      <c r="AQ369" s="552">
        <v>1</v>
      </c>
      <c r="AR369" s="552">
        <v>1</v>
      </c>
      <c r="AS369" s="552">
        <v>1</v>
      </c>
      <c r="AT369" s="552">
        <v>1</v>
      </c>
      <c r="AU369" s="552">
        <v>1</v>
      </c>
      <c r="AV369" s="592" t="s">
        <v>1132</v>
      </c>
      <c r="AW369" s="552" t="s">
        <v>562</v>
      </c>
      <c r="AX369" s="552"/>
      <c r="AY369" s="552" t="str">
        <f t="shared" si="527"/>
        <v>Yes</v>
      </c>
      <c r="AZ369" s="554" t="str">
        <f t="shared" si="530"/>
        <v>7:1:Back</v>
      </c>
      <c r="BA369" s="554" t="str">
        <f t="shared" si="531"/>
        <v>Broken Wire (# Broken Subconductors)</v>
      </c>
      <c r="BB369" s="552">
        <f t="shared" si="532"/>
        <v>4</v>
      </c>
      <c r="BC369" s="554" t="str">
        <f t="shared" si="533"/>
        <v>17:1:Back</v>
      </c>
      <c r="BD369" s="554" t="str">
        <f t="shared" si="534"/>
        <v>Broken Wire (# Broken Subconductors)</v>
      </c>
      <c r="BE369" s="552">
        <f t="shared" si="535"/>
        <v>4</v>
      </c>
      <c r="BF369" s="554" t="str">
        <f t="shared" si="536"/>
        <v/>
      </c>
      <c r="BG369" s="554" t="str">
        <f t="shared" si="537"/>
        <v/>
      </c>
      <c r="BH369" s="552" t="str">
        <f t="shared" si="538"/>
        <v/>
      </c>
      <c r="BI369" s="554" t="str">
        <f t="shared" si="539"/>
        <v/>
      </c>
      <c r="BJ369" s="554" t="str">
        <f t="shared" si="540"/>
        <v/>
      </c>
      <c r="BK369" s="552" t="str">
        <f t="shared" si="541"/>
        <v/>
      </c>
      <c r="BL369" s="554" t="str">
        <f t="shared" si="542"/>
        <v/>
      </c>
      <c r="BM369" s="554" t="str">
        <f t="shared" si="543"/>
        <v/>
      </c>
      <c r="BN369" s="552" t="str">
        <f t="shared" si="544"/>
        <v/>
      </c>
      <c r="BO369" s="554" t="str">
        <f t="shared" si="545"/>
        <v/>
      </c>
      <c r="BP369" s="554" t="str">
        <f t="shared" si="546"/>
        <v/>
      </c>
      <c r="BQ369" s="552" t="str">
        <f t="shared" si="547"/>
        <v/>
      </c>
      <c r="BR369" s="554"/>
      <c r="BS369" s="554"/>
      <c r="BT369" s="554"/>
      <c r="BU369" s="554"/>
      <c r="BV369" s="554"/>
      <c r="BW369" s="554"/>
      <c r="BX369" s="554"/>
      <c r="BY369" s="554"/>
      <c r="BZ369" s="554"/>
      <c r="CA369" s="554"/>
      <c r="CB369" s="554"/>
      <c r="CC369" s="554"/>
      <c r="CD369" s="554"/>
      <c r="CE369" s="554"/>
      <c r="CF369" s="554"/>
      <c r="CG369" s="554"/>
      <c r="CH369" s="554"/>
      <c r="CI369" s="554"/>
      <c r="CJ369" s="554"/>
      <c r="CK369" s="554"/>
      <c r="CL369" s="554"/>
      <c r="CM369" s="554"/>
      <c r="CN369" s="554"/>
      <c r="CO369" s="554"/>
      <c r="CP369" s="554"/>
      <c r="CQ369" s="554"/>
      <c r="CR369" s="554"/>
      <c r="CS369" s="554"/>
      <c r="CT369" s="554"/>
      <c r="CU369" s="554"/>
      <c r="CV369" s="554"/>
      <c r="CW369" s="554"/>
      <c r="CX369" s="554"/>
      <c r="CY369" s="554"/>
      <c r="CZ369" s="554"/>
      <c r="DA369" s="554"/>
      <c r="DB369" s="554"/>
      <c r="DC369" s="554"/>
      <c r="DD369" s="554"/>
      <c r="DE369" s="534"/>
      <c r="DF369" s="534"/>
      <c r="DG369" s="534"/>
    </row>
    <row r="370" spans="1:111" ht="15" x14ac:dyDescent="0.25">
      <c r="A370" s="549">
        <f>IFERROR(IF(INDEX('Weather Cases'!$E$10:$E$94,MATCH('Load Criteria'!X370,'Weather Cases'!$H$10:$H$94,0),1)=1,1,"-"),"-")</f>
        <v>1</v>
      </c>
      <c r="B370" s="555" t="s">
        <v>558</v>
      </c>
      <c r="C370" s="556" t="str">
        <f>IF('Weather Cases'!$E$46=0,"","DC/SC")</f>
        <v>DC/SC</v>
      </c>
      <c r="D370" s="555" t="s">
        <v>579</v>
      </c>
      <c r="E370" s="556">
        <v>1</v>
      </c>
      <c r="F370" s="556" t="s">
        <v>22</v>
      </c>
      <c r="G370" s="556" t="str">
        <f>IFERROR(IF(MID('Load Criteria'!X370,FIND("_",'Load Criteria'!X370,1)+1,1)=LEFT(Control!$D$23,1),"YES","-"),"-")</f>
        <v>-</v>
      </c>
      <c r="H370" s="549" t="str">
        <f>IF(INDEX('Weather Cases'!$G$10:$G$94,MATCH('Load Criteria'!X370,'Weather Cases'!$H$10:$H$94,0),1)="H","YES","")</f>
        <v>YES</v>
      </c>
      <c r="I370" s="557" t="s">
        <v>333</v>
      </c>
      <c r="J370" s="550">
        <f>Control!$D$25</f>
        <v>1</v>
      </c>
      <c r="K370" s="508" t="s">
        <v>571</v>
      </c>
      <c r="L370" s="508" t="s">
        <v>24</v>
      </c>
      <c r="M370" s="550">
        <v>8</v>
      </c>
      <c r="N370" s="550"/>
      <c r="O370" s="550"/>
      <c r="P370" s="392"/>
      <c r="Q370" s="392"/>
      <c r="R370" s="392"/>
      <c r="S370" s="392"/>
      <c r="T370" s="392"/>
      <c r="U370" s="255" t="s">
        <v>568</v>
      </c>
      <c r="V370" s="551"/>
      <c r="W370" s="542" t="str">
        <f t="shared" si="494"/>
        <v>RI0001_8+TA8 NA+</v>
      </c>
      <c r="X370" s="552" t="str">
        <f>I370&amp;TEXT(J370,"0000")&amp;"_"&amp;LEFT(Control!$D$22,LEN(Control!$D$22)-2)</f>
        <v>RI0001_8</v>
      </c>
      <c r="Y370" s="552" t="s">
        <v>433</v>
      </c>
      <c r="Z370" s="552" t="str">
        <f t="shared" si="529"/>
        <v>NA+</v>
      </c>
      <c r="AA370" s="552"/>
      <c r="AB370" s="552">
        <v>1</v>
      </c>
      <c r="AC370" s="552">
        <v>1</v>
      </c>
      <c r="AD370" s="552">
        <v>1</v>
      </c>
      <c r="AE370" s="552">
        <v>1</v>
      </c>
      <c r="AF370" s="552">
        <v>1</v>
      </c>
      <c r="AG370" s="542" t="s">
        <v>561</v>
      </c>
      <c r="AH370" s="552">
        <v>0</v>
      </c>
      <c r="AI370" s="552">
        <v>0</v>
      </c>
      <c r="AJ370" s="552">
        <v>1</v>
      </c>
      <c r="AK370" s="552">
        <v>1</v>
      </c>
      <c r="AL370" s="552">
        <v>1</v>
      </c>
      <c r="AM370" s="552">
        <v>0</v>
      </c>
      <c r="AN370" s="552">
        <v>0</v>
      </c>
      <c r="AO370" s="552">
        <v>1</v>
      </c>
      <c r="AP370" s="552">
        <v>1</v>
      </c>
      <c r="AQ370" s="552">
        <v>1</v>
      </c>
      <c r="AR370" s="552">
        <v>1</v>
      </c>
      <c r="AS370" s="552">
        <v>1</v>
      </c>
      <c r="AT370" s="552">
        <v>1</v>
      </c>
      <c r="AU370" s="552">
        <v>1</v>
      </c>
      <c r="AV370" s="592" t="s">
        <v>1132</v>
      </c>
      <c r="AW370" s="552" t="s">
        <v>562</v>
      </c>
      <c r="AX370" s="552"/>
      <c r="AY370" s="552" t="str">
        <f t="shared" si="527"/>
        <v>Yes</v>
      </c>
      <c r="AZ370" s="554" t="str">
        <f t="shared" si="530"/>
        <v>8:1:Ahead</v>
      </c>
      <c r="BA370" s="554" t="str">
        <f t="shared" si="531"/>
        <v>Broken Wire (# Broken Subconductors)</v>
      </c>
      <c r="BB370" s="552">
        <f t="shared" si="532"/>
        <v>4</v>
      </c>
      <c r="BC370" s="554" t="str">
        <f t="shared" si="533"/>
        <v>18:1:Ahead</v>
      </c>
      <c r="BD370" s="554" t="str">
        <f t="shared" si="534"/>
        <v>Broken Wire (# Broken Subconductors)</v>
      </c>
      <c r="BE370" s="552">
        <f t="shared" si="535"/>
        <v>4</v>
      </c>
      <c r="BF370" s="554" t="str">
        <f t="shared" si="536"/>
        <v/>
      </c>
      <c r="BG370" s="554" t="str">
        <f t="shared" si="537"/>
        <v/>
      </c>
      <c r="BH370" s="552" t="str">
        <f t="shared" si="538"/>
        <v/>
      </c>
      <c r="BI370" s="554" t="str">
        <f t="shared" si="539"/>
        <v/>
      </c>
      <c r="BJ370" s="554" t="str">
        <f t="shared" si="540"/>
        <v/>
      </c>
      <c r="BK370" s="552" t="str">
        <f t="shared" si="541"/>
        <v/>
      </c>
      <c r="BL370" s="554" t="str">
        <f t="shared" si="542"/>
        <v/>
      </c>
      <c r="BM370" s="554" t="str">
        <f t="shared" si="543"/>
        <v/>
      </c>
      <c r="BN370" s="552" t="str">
        <f t="shared" si="544"/>
        <v/>
      </c>
      <c r="BO370" s="554" t="str">
        <f t="shared" si="545"/>
        <v/>
      </c>
      <c r="BP370" s="554" t="str">
        <f t="shared" si="546"/>
        <v/>
      </c>
      <c r="BQ370" s="552" t="str">
        <f t="shared" si="547"/>
        <v/>
      </c>
      <c r="BR370" s="554"/>
      <c r="BS370" s="554"/>
      <c r="BT370" s="554"/>
      <c r="BU370" s="554"/>
      <c r="BV370" s="554"/>
      <c r="BW370" s="554"/>
      <c r="BX370" s="554"/>
      <c r="BY370" s="554"/>
      <c r="BZ370" s="554"/>
      <c r="CA370" s="554"/>
      <c r="CB370" s="554"/>
      <c r="CC370" s="554"/>
      <c r="CD370" s="554"/>
      <c r="CE370" s="554"/>
      <c r="CF370" s="554"/>
      <c r="CG370" s="554"/>
      <c r="CH370" s="554"/>
      <c r="CI370" s="554"/>
      <c r="CJ370" s="554"/>
      <c r="CK370" s="554"/>
      <c r="CL370" s="554"/>
      <c r="CM370" s="554"/>
      <c r="CN370" s="554"/>
      <c r="CO370" s="554"/>
      <c r="CP370" s="554"/>
      <c r="CQ370" s="554"/>
      <c r="CR370" s="554"/>
      <c r="CS370" s="554"/>
      <c r="CT370" s="554"/>
      <c r="CU370" s="554"/>
      <c r="CV370" s="554"/>
      <c r="CW370" s="554"/>
      <c r="CX370" s="554"/>
      <c r="CY370" s="554"/>
      <c r="CZ370" s="554"/>
      <c r="DA370" s="554"/>
      <c r="DB370" s="554"/>
      <c r="DC370" s="554"/>
      <c r="DD370" s="554"/>
      <c r="DE370" s="534"/>
      <c r="DF370" s="534"/>
      <c r="DG370" s="534"/>
    </row>
    <row r="371" spans="1:111" ht="15" x14ac:dyDescent="0.25">
      <c r="A371" s="549">
        <f>IFERROR(IF(INDEX('Weather Cases'!$E$10:$E$94,MATCH('Load Criteria'!X371,'Weather Cases'!$H$10:$H$94,0),1)=1,1,"-"),"-")</f>
        <v>1</v>
      </c>
      <c r="B371" s="555" t="s">
        <v>558</v>
      </c>
      <c r="C371" s="556" t="str">
        <f>IF('Weather Cases'!$E$46=0,"","DC/SC")</f>
        <v>DC/SC</v>
      </c>
      <c r="D371" s="555" t="s">
        <v>579</v>
      </c>
      <c r="E371" s="556">
        <v>1</v>
      </c>
      <c r="F371" s="556" t="s">
        <v>22</v>
      </c>
      <c r="G371" s="556" t="str">
        <f>IFERROR(IF(MID('Load Criteria'!X371,FIND("_",'Load Criteria'!X371,1)+1,1)=LEFT(Control!$D$23,1),"YES","-"),"-")</f>
        <v>-</v>
      </c>
      <c r="H371" s="549" t="str">
        <f>IF(INDEX('Weather Cases'!$G$10:$G$94,MATCH('Load Criteria'!X371,'Weather Cases'!$H$10:$H$94,0),1)="H","YES","")</f>
        <v>YES</v>
      </c>
      <c r="I371" s="557" t="s">
        <v>333</v>
      </c>
      <c r="J371" s="550">
        <f>Control!$D$25</f>
        <v>1</v>
      </c>
      <c r="K371" s="508" t="s">
        <v>571</v>
      </c>
      <c r="L371" s="508" t="s">
        <v>40</v>
      </c>
      <c r="M371" s="550">
        <v>8</v>
      </c>
      <c r="N371" s="550"/>
      <c r="O371" s="550"/>
      <c r="P371" s="392"/>
      <c r="Q371" s="392"/>
      <c r="R371" s="392"/>
      <c r="S371" s="392"/>
      <c r="T371" s="392"/>
      <c r="U371" s="255" t="s">
        <v>568</v>
      </c>
      <c r="V371" s="551"/>
      <c r="W371" s="542" t="str">
        <f t="shared" si="494"/>
        <v>RI0001_8+TB8 NA+</v>
      </c>
      <c r="X371" s="552" t="str">
        <f>I371&amp;TEXT(J371,"0000")&amp;"_"&amp;LEFT(Control!$D$22,LEN(Control!$D$22)-2)</f>
        <v>RI0001_8</v>
      </c>
      <c r="Y371" s="552" t="s">
        <v>433</v>
      </c>
      <c r="Z371" s="552" t="str">
        <f t="shared" si="529"/>
        <v>NA+</v>
      </c>
      <c r="AA371" s="552"/>
      <c r="AB371" s="552">
        <v>1</v>
      </c>
      <c r="AC371" s="552">
        <v>1</v>
      </c>
      <c r="AD371" s="552">
        <v>1</v>
      </c>
      <c r="AE371" s="552">
        <v>1</v>
      </c>
      <c r="AF371" s="552">
        <v>1</v>
      </c>
      <c r="AG371" s="542" t="s">
        <v>561</v>
      </c>
      <c r="AH371" s="552">
        <v>0</v>
      </c>
      <c r="AI371" s="552">
        <v>0</v>
      </c>
      <c r="AJ371" s="552">
        <v>1</v>
      </c>
      <c r="AK371" s="552">
        <v>1</v>
      </c>
      <c r="AL371" s="552">
        <v>1</v>
      </c>
      <c r="AM371" s="552">
        <v>0</v>
      </c>
      <c r="AN371" s="552">
        <v>0</v>
      </c>
      <c r="AO371" s="552">
        <v>1</v>
      </c>
      <c r="AP371" s="552">
        <v>1</v>
      </c>
      <c r="AQ371" s="552">
        <v>1</v>
      </c>
      <c r="AR371" s="552">
        <v>1</v>
      </c>
      <c r="AS371" s="552">
        <v>1</v>
      </c>
      <c r="AT371" s="552">
        <v>1</v>
      </c>
      <c r="AU371" s="552">
        <v>1</v>
      </c>
      <c r="AV371" s="592" t="s">
        <v>1132</v>
      </c>
      <c r="AW371" s="552" t="s">
        <v>562</v>
      </c>
      <c r="AX371" s="552"/>
      <c r="AY371" s="552" t="str">
        <f t="shared" si="527"/>
        <v>Yes</v>
      </c>
      <c r="AZ371" s="554" t="str">
        <f t="shared" si="530"/>
        <v>8:1:Back</v>
      </c>
      <c r="BA371" s="554" t="str">
        <f t="shared" si="531"/>
        <v>Broken Wire (# Broken Subconductors)</v>
      </c>
      <c r="BB371" s="552">
        <f t="shared" si="532"/>
        <v>4</v>
      </c>
      <c r="BC371" s="554" t="str">
        <f t="shared" si="533"/>
        <v>18:1:Back</v>
      </c>
      <c r="BD371" s="554" t="str">
        <f t="shared" si="534"/>
        <v>Broken Wire (# Broken Subconductors)</v>
      </c>
      <c r="BE371" s="552">
        <f t="shared" si="535"/>
        <v>4</v>
      </c>
      <c r="BF371" s="554" t="str">
        <f t="shared" si="536"/>
        <v/>
      </c>
      <c r="BG371" s="554" t="str">
        <f t="shared" si="537"/>
        <v/>
      </c>
      <c r="BH371" s="552" t="str">
        <f t="shared" si="538"/>
        <v/>
      </c>
      <c r="BI371" s="554" t="str">
        <f t="shared" si="539"/>
        <v/>
      </c>
      <c r="BJ371" s="554" t="str">
        <f t="shared" si="540"/>
        <v/>
      </c>
      <c r="BK371" s="552" t="str">
        <f t="shared" si="541"/>
        <v/>
      </c>
      <c r="BL371" s="554" t="str">
        <f t="shared" si="542"/>
        <v/>
      </c>
      <c r="BM371" s="554" t="str">
        <f t="shared" si="543"/>
        <v/>
      </c>
      <c r="BN371" s="552" t="str">
        <f t="shared" si="544"/>
        <v/>
      </c>
      <c r="BO371" s="554" t="str">
        <f t="shared" si="545"/>
        <v/>
      </c>
      <c r="BP371" s="554" t="str">
        <f t="shared" si="546"/>
        <v/>
      </c>
      <c r="BQ371" s="552" t="str">
        <f t="shared" si="547"/>
        <v/>
      </c>
      <c r="BR371" s="554"/>
      <c r="BS371" s="554"/>
      <c r="BT371" s="554"/>
      <c r="BU371" s="554"/>
      <c r="BV371" s="554"/>
      <c r="BW371" s="554"/>
      <c r="BX371" s="554"/>
      <c r="BY371" s="554"/>
      <c r="BZ371" s="554"/>
      <c r="CA371" s="554"/>
      <c r="CB371" s="554"/>
      <c r="CC371" s="554"/>
      <c r="CD371" s="554"/>
      <c r="CE371" s="554"/>
      <c r="CF371" s="554"/>
      <c r="CG371" s="554"/>
      <c r="CH371" s="554"/>
      <c r="CI371" s="554"/>
      <c r="CJ371" s="554"/>
      <c r="CK371" s="554"/>
      <c r="CL371" s="554"/>
      <c r="CM371" s="554"/>
      <c r="CN371" s="554"/>
      <c r="CO371" s="554"/>
      <c r="CP371" s="554"/>
      <c r="CQ371" s="554"/>
      <c r="CR371" s="554"/>
      <c r="CS371" s="554"/>
      <c r="CT371" s="554"/>
      <c r="CU371" s="554"/>
      <c r="CV371" s="554"/>
      <c r="CW371" s="554"/>
      <c r="CX371" s="554"/>
      <c r="CY371" s="554"/>
      <c r="CZ371" s="554"/>
      <c r="DA371" s="554"/>
      <c r="DB371" s="554"/>
      <c r="DC371" s="554"/>
      <c r="DD371" s="554"/>
      <c r="DE371" s="534"/>
      <c r="DF371" s="534"/>
      <c r="DG371" s="534"/>
    </row>
    <row r="372" spans="1:111" ht="15" x14ac:dyDescent="0.25">
      <c r="A372" s="549">
        <f>IFERROR(IF(INDEX('Weather Cases'!$E$10:$E$94,MATCH('Load Criteria'!X372,'Weather Cases'!$H$10:$H$94,0),1)=1,1,"-"),"-")</f>
        <v>1</v>
      </c>
      <c r="B372" s="555" t="s">
        <v>558</v>
      </c>
      <c r="C372" s="556" t="str">
        <f>IF('Weather Cases'!$E$46=0,"","DC/SC")</f>
        <v>DC/SC</v>
      </c>
      <c r="D372" s="555" t="s">
        <v>579</v>
      </c>
      <c r="E372" s="556">
        <v>1</v>
      </c>
      <c r="F372" s="556" t="s">
        <v>22</v>
      </c>
      <c r="G372" s="556" t="str">
        <f>IFERROR(IF(MID('Load Criteria'!X372,FIND("_",'Load Criteria'!X372,1)+1,1)=LEFT(Control!$D$23,1),"YES","-"),"-")</f>
        <v>-</v>
      </c>
      <c r="H372" s="549" t="str">
        <f>IF(INDEX('Weather Cases'!$G$10:$G$94,MATCH('Load Criteria'!X372,'Weather Cases'!$H$10:$H$94,0),1)="H","YES","")</f>
        <v>YES</v>
      </c>
      <c r="I372" s="557" t="s">
        <v>333</v>
      </c>
      <c r="J372" s="550">
        <f>Control!$D$25</f>
        <v>1</v>
      </c>
      <c r="K372" s="508" t="s">
        <v>571</v>
      </c>
      <c r="L372" s="508" t="s">
        <v>24</v>
      </c>
      <c r="M372" s="508">
        <v>1</v>
      </c>
      <c r="N372" s="550"/>
      <c r="O372" s="550"/>
      <c r="P372" s="392"/>
      <c r="Q372" s="392"/>
      <c r="R372" s="392"/>
      <c r="S372" s="392"/>
      <c r="T372" s="392"/>
      <c r="U372" s="255" t="s">
        <v>574</v>
      </c>
      <c r="V372" s="551"/>
      <c r="W372" s="542" t="str">
        <f t="shared" si="494"/>
        <v>RI0001_8+TA1 NA-</v>
      </c>
      <c r="X372" s="552" t="str">
        <f>I372&amp;TEXT(J372,"0000")&amp;"_"&amp;LEFT(Control!$D$22,LEN(Control!$D$22)-2)</f>
        <v>RI0001_8</v>
      </c>
      <c r="Y372" s="552" t="s">
        <v>433</v>
      </c>
      <c r="Z372" s="552" t="str">
        <f t="shared" si="529"/>
        <v>NA-</v>
      </c>
      <c r="AA372" s="552"/>
      <c r="AB372" s="552">
        <v>1</v>
      </c>
      <c r="AC372" s="552">
        <v>1</v>
      </c>
      <c r="AD372" s="552">
        <v>1</v>
      </c>
      <c r="AE372" s="552">
        <v>1</v>
      </c>
      <c r="AF372" s="552">
        <v>1</v>
      </c>
      <c r="AG372" s="542" t="s">
        <v>561</v>
      </c>
      <c r="AH372" s="552">
        <v>0</v>
      </c>
      <c r="AI372" s="552">
        <v>0</v>
      </c>
      <c r="AJ372" s="552">
        <v>1</v>
      </c>
      <c r="AK372" s="552">
        <v>1</v>
      </c>
      <c r="AL372" s="552">
        <v>1</v>
      </c>
      <c r="AM372" s="552">
        <v>0</v>
      </c>
      <c r="AN372" s="552">
        <v>0</v>
      </c>
      <c r="AO372" s="552">
        <v>1</v>
      </c>
      <c r="AP372" s="552">
        <v>1</v>
      </c>
      <c r="AQ372" s="552">
        <v>1</v>
      </c>
      <c r="AR372" s="552">
        <v>1</v>
      </c>
      <c r="AS372" s="552">
        <v>1</v>
      </c>
      <c r="AT372" s="552">
        <v>1</v>
      </c>
      <c r="AU372" s="552">
        <v>1</v>
      </c>
      <c r="AV372" s="592" t="s">
        <v>1132</v>
      </c>
      <c r="AW372" s="552" t="s">
        <v>562</v>
      </c>
      <c r="AX372" s="552"/>
      <c r="AY372" s="552" t="str">
        <f t="shared" si="527"/>
        <v>Yes</v>
      </c>
      <c r="AZ372" s="554" t="str">
        <f t="shared" si="530"/>
        <v>1:1:Ahead</v>
      </c>
      <c r="BA372" s="554" t="str">
        <f t="shared" si="531"/>
        <v>Broken Wire (# Broken Subconductors)</v>
      </c>
      <c r="BB372" s="552">
        <f t="shared" si="532"/>
        <v>4</v>
      </c>
      <c r="BC372" s="554" t="str">
        <f t="shared" si="533"/>
        <v>11:1:Ahead</v>
      </c>
      <c r="BD372" s="554" t="str">
        <f t="shared" si="534"/>
        <v>Broken Wire (# Broken Subconductors)</v>
      </c>
      <c r="BE372" s="552">
        <f t="shared" si="535"/>
        <v>4</v>
      </c>
      <c r="BF372" s="554" t="str">
        <f t="shared" si="536"/>
        <v/>
      </c>
      <c r="BG372" s="554" t="str">
        <f t="shared" si="537"/>
        <v/>
      </c>
      <c r="BH372" s="552" t="str">
        <f t="shared" si="538"/>
        <v/>
      </c>
      <c r="BI372" s="554" t="str">
        <f t="shared" si="539"/>
        <v/>
      </c>
      <c r="BJ372" s="554" t="str">
        <f t="shared" si="540"/>
        <v/>
      </c>
      <c r="BK372" s="552" t="str">
        <f t="shared" si="541"/>
        <v/>
      </c>
      <c r="BL372" s="554" t="str">
        <f t="shared" si="542"/>
        <v/>
      </c>
      <c r="BM372" s="554" t="str">
        <f t="shared" si="543"/>
        <v/>
      </c>
      <c r="BN372" s="552" t="str">
        <f t="shared" si="544"/>
        <v/>
      </c>
      <c r="BO372" s="554" t="str">
        <f t="shared" si="545"/>
        <v/>
      </c>
      <c r="BP372" s="554" t="str">
        <f t="shared" si="546"/>
        <v/>
      </c>
      <c r="BQ372" s="552" t="str">
        <f t="shared" si="547"/>
        <v/>
      </c>
      <c r="BR372" s="554"/>
      <c r="BS372" s="554"/>
      <c r="BT372" s="554"/>
      <c r="BU372" s="554"/>
      <c r="BV372" s="554"/>
      <c r="BW372" s="554"/>
      <c r="BX372" s="554"/>
      <c r="BY372" s="554"/>
      <c r="BZ372" s="554"/>
      <c r="CA372" s="554"/>
      <c r="CB372" s="554"/>
      <c r="CC372" s="554"/>
      <c r="CD372" s="554"/>
      <c r="CE372" s="554"/>
      <c r="CF372" s="554"/>
      <c r="CG372" s="554"/>
      <c r="CH372" s="554"/>
      <c r="CI372" s="554"/>
      <c r="CJ372" s="554"/>
      <c r="CK372" s="554"/>
      <c r="CL372" s="554"/>
      <c r="CM372" s="554"/>
      <c r="CN372" s="554"/>
      <c r="CO372" s="554"/>
      <c r="CP372" s="554"/>
      <c r="CQ372" s="554"/>
      <c r="CR372" s="554"/>
      <c r="CS372" s="554"/>
      <c r="CT372" s="554"/>
      <c r="CU372" s="554"/>
      <c r="CV372" s="554"/>
      <c r="CW372" s="554"/>
      <c r="CX372" s="554"/>
      <c r="CY372" s="554"/>
      <c r="CZ372" s="554"/>
      <c r="DA372" s="554"/>
      <c r="DB372" s="554"/>
      <c r="DC372" s="554"/>
      <c r="DD372" s="554"/>
      <c r="DE372" s="534"/>
      <c r="DF372" s="534"/>
      <c r="DG372" s="534"/>
    </row>
    <row r="373" spans="1:111" ht="15" x14ac:dyDescent="0.25">
      <c r="A373" s="549">
        <f>IFERROR(IF(INDEX('Weather Cases'!$E$10:$E$94,MATCH('Load Criteria'!X373,'Weather Cases'!$H$10:$H$94,0),1)=1,1,"-"),"-")</f>
        <v>1</v>
      </c>
      <c r="B373" s="555" t="s">
        <v>558</v>
      </c>
      <c r="C373" s="556" t="str">
        <f>IF('Weather Cases'!$E$46=0,"","DC/SC")</f>
        <v>DC/SC</v>
      </c>
      <c r="D373" s="555" t="s">
        <v>579</v>
      </c>
      <c r="E373" s="556">
        <v>1</v>
      </c>
      <c r="F373" s="556" t="s">
        <v>22</v>
      </c>
      <c r="G373" s="556" t="str">
        <f>IFERROR(IF(MID('Load Criteria'!X373,FIND("_",'Load Criteria'!X373,1)+1,1)=LEFT(Control!$D$23,1),"YES","-"),"-")</f>
        <v>-</v>
      </c>
      <c r="H373" s="549" t="str">
        <f>IF(INDEX('Weather Cases'!$G$10:$G$94,MATCH('Load Criteria'!X373,'Weather Cases'!$H$10:$H$94,0),1)="H","YES","")</f>
        <v>YES</v>
      </c>
      <c r="I373" s="557" t="s">
        <v>333</v>
      </c>
      <c r="J373" s="550">
        <f>Control!$D$25</f>
        <v>1</v>
      </c>
      <c r="K373" s="508" t="s">
        <v>571</v>
      </c>
      <c r="L373" s="508" t="s">
        <v>40</v>
      </c>
      <c r="M373" s="508">
        <v>1</v>
      </c>
      <c r="N373" s="550"/>
      <c r="O373" s="550"/>
      <c r="P373" s="392"/>
      <c r="Q373" s="392"/>
      <c r="R373" s="392"/>
      <c r="S373" s="392"/>
      <c r="T373" s="392"/>
      <c r="U373" s="255" t="s">
        <v>574</v>
      </c>
      <c r="V373" s="551"/>
      <c r="W373" s="542" t="str">
        <f t="shared" si="494"/>
        <v>RI0001_8+TB1 NA-</v>
      </c>
      <c r="X373" s="552" t="str">
        <f>I373&amp;TEXT(J373,"0000")&amp;"_"&amp;LEFT(Control!$D$22,LEN(Control!$D$22)-2)</f>
        <v>RI0001_8</v>
      </c>
      <c r="Y373" s="552" t="s">
        <v>433</v>
      </c>
      <c r="Z373" s="552" t="str">
        <f t="shared" si="529"/>
        <v>NA-</v>
      </c>
      <c r="AA373" s="552"/>
      <c r="AB373" s="552">
        <v>1</v>
      </c>
      <c r="AC373" s="552">
        <v>1</v>
      </c>
      <c r="AD373" s="552">
        <v>1</v>
      </c>
      <c r="AE373" s="552">
        <v>1</v>
      </c>
      <c r="AF373" s="552">
        <v>1</v>
      </c>
      <c r="AG373" s="542" t="s">
        <v>561</v>
      </c>
      <c r="AH373" s="552">
        <v>0</v>
      </c>
      <c r="AI373" s="552">
        <v>0</v>
      </c>
      <c r="AJ373" s="552">
        <v>1</v>
      </c>
      <c r="AK373" s="552">
        <v>1</v>
      </c>
      <c r="AL373" s="552">
        <v>1</v>
      </c>
      <c r="AM373" s="552">
        <v>0</v>
      </c>
      <c r="AN373" s="552">
        <v>0</v>
      </c>
      <c r="AO373" s="552">
        <v>1</v>
      </c>
      <c r="AP373" s="552">
        <v>1</v>
      </c>
      <c r="AQ373" s="552">
        <v>1</v>
      </c>
      <c r="AR373" s="552">
        <v>1</v>
      </c>
      <c r="AS373" s="552">
        <v>1</v>
      </c>
      <c r="AT373" s="552">
        <v>1</v>
      </c>
      <c r="AU373" s="552">
        <v>1</v>
      </c>
      <c r="AV373" s="592" t="s">
        <v>1132</v>
      </c>
      <c r="AW373" s="552" t="s">
        <v>562</v>
      </c>
      <c r="AX373" s="552"/>
      <c r="AY373" s="552" t="str">
        <f t="shared" si="527"/>
        <v>Yes</v>
      </c>
      <c r="AZ373" s="554" t="str">
        <f t="shared" si="530"/>
        <v>1:1:Back</v>
      </c>
      <c r="BA373" s="554" t="str">
        <f t="shared" si="531"/>
        <v>Broken Wire (# Broken Subconductors)</v>
      </c>
      <c r="BB373" s="552">
        <f t="shared" si="532"/>
        <v>4</v>
      </c>
      <c r="BC373" s="554" t="str">
        <f t="shared" si="533"/>
        <v>11:1:Back</v>
      </c>
      <c r="BD373" s="554" t="str">
        <f t="shared" si="534"/>
        <v>Broken Wire (# Broken Subconductors)</v>
      </c>
      <c r="BE373" s="552">
        <f t="shared" si="535"/>
        <v>4</v>
      </c>
      <c r="BF373" s="554" t="str">
        <f t="shared" si="536"/>
        <v/>
      </c>
      <c r="BG373" s="554" t="str">
        <f t="shared" si="537"/>
        <v/>
      </c>
      <c r="BH373" s="552" t="str">
        <f t="shared" si="538"/>
        <v/>
      </c>
      <c r="BI373" s="554" t="str">
        <f t="shared" si="539"/>
        <v/>
      </c>
      <c r="BJ373" s="554" t="str">
        <f t="shared" si="540"/>
        <v/>
      </c>
      <c r="BK373" s="552" t="str">
        <f t="shared" si="541"/>
        <v/>
      </c>
      <c r="BL373" s="554" t="str">
        <f t="shared" si="542"/>
        <v/>
      </c>
      <c r="BM373" s="554" t="str">
        <f t="shared" si="543"/>
        <v/>
      </c>
      <c r="BN373" s="552" t="str">
        <f t="shared" si="544"/>
        <v/>
      </c>
      <c r="BO373" s="554" t="str">
        <f t="shared" si="545"/>
        <v/>
      </c>
      <c r="BP373" s="554" t="str">
        <f t="shared" si="546"/>
        <v/>
      </c>
      <c r="BQ373" s="552" t="str">
        <f t="shared" si="547"/>
        <v/>
      </c>
      <c r="BR373" s="554"/>
      <c r="BS373" s="554"/>
      <c r="BT373" s="554"/>
      <c r="BU373" s="554"/>
      <c r="BV373" s="554"/>
      <c r="BW373" s="554"/>
      <c r="BX373" s="554"/>
      <c r="BY373" s="554"/>
      <c r="BZ373" s="554"/>
      <c r="CA373" s="554"/>
      <c r="CB373" s="554"/>
      <c r="CC373" s="554"/>
      <c r="CD373" s="554"/>
      <c r="CE373" s="554"/>
      <c r="CF373" s="554"/>
      <c r="CG373" s="554"/>
      <c r="CH373" s="554"/>
      <c r="CI373" s="554"/>
      <c r="CJ373" s="554"/>
      <c r="CK373" s="554"/>
      <c r="CL373" s="554"/>
      <c r="CM373" s="554"/>
      <c r="CN373" s="554"/>
      <c r="CO373" s="554"/>
      <c r="CP373" s="554"/>
      <c r="CQ373" s="554"/>
      <c r="CR373" s="554"/>
      <c r="CS373" s="554"/>
      <c r="CT373" s="554"/>
      <c r="CU373" s="554"/>
      <c r="CV373" s="554"/>
      <c r="CW373" s="554"/>
      <c r="CX373" s="554"/>
      <c r="CY373" s="554"/>
      <c r="CZ373" s="554"/>
      <c r="DA373" s="554"/>
      <c r="DB373" s="554"/>
      <c r="DC373" s="554"/>
      <c r="DD373" s="554"/>
      <c r="DE373" s="534"/>
      <c r="DF373" s="534"/>
      <c r="DG373" s="534"/>
    </row>
    <row r="374" spans="1:111" ht="15" x14ac:dyDescent="0.25">
      <c r="A374" s="549">
        <f>IFERROR(IF(INDEX('Weather Cases'!$E$10:$E$94,MATCH('Load Criteria'!X374,'Weather Cases'!$H$10:$H$94,0),1)=1,1,"-"),"-")</f>
        <v>1</v>
      </c>
      <c r="B374" s="555" t="s">
        <v>558</v>
      </c>
      <c r="C374" s="556" t="str">
        <f>IF('Weather Cases'!$E$46=0,"","DC/SC")</f>
        <v>DC/SC</v>
      </c>
      <c r="D374" s="555" t="s">
        <v>579</v>
      </c>
      <c r="E374" s="556">
        <v>1</v>
      </c>
      <c r="F374" s="556" t="s">
        <v>22</v>
      </c>
      <c r="G374" s="556" t="str">
        <f>IFERROR(IF(MID('Load Criteria'!X374,FIND("_",'Load Criteria'!X374,1)+1,1)=LEFT(Control!$D$23,1),"YES","-"),"-")</f>
        <v>-</v>
      </c>
      <c r="H374" s="549" t="str">
        <f>IF(INDEX('Weather Cases'!$G$10:$G$94,MATCH('Load Criteria'!X374,'Weather Cases'!$H$10:$H$94,0),1)="H","YES","")</f>
        <v>YES</v>
      </c>
      <c r="I374" s="557" t="s">
        <v>333</v>
      </c>
      <c r="J374" s="550">
        <f>Control!$D$25</f>
        <v>1</v>
      </c>
      <c r="K374" s="508" t="s">
        <v>571</v>
      </c>
      <c r="L374" s="508" t="s">
        <v>24</v>
      </c>
      <c r="M374" s="508">
        <v>2</v>
      </c>
      <c r="N374" s="550"/>
      <c r="O374" s="550"/>
      <c r="P374" s="392"/>
      <c r="Q374" s="392"/>
      <c r="R374" s="392"/>
      <c r="S374" s="392"/>
      <c r="T374" s="392"/>
      <c r="U374" s="255" t="s">
        <v>574</v>
      </c>
      <c r="V374" s="551"/>
      <c r="W374" s="542" t="str">
        <f t="shared" ref="W374:W415" si="548">X374&amp;"+"&amp;K374&amp;IF(L374="","",CONCATENATE(L374,M374,N374,O374))&amp;" "&amp;U374</f>
        <v>RI0001_8+TA2 NA-</v>
      </c>
      <c r="X374" s="552" t="str">
        <f>I374&amp;TEXT(J374,"0000")&amp;"_"&amp;LEFT(Control!$D$22,LEN(Control!$D$22)-2)</f>
        <v>RI0001_8</v>
      </c>
      <c r="Y374" s="552" t="s">
        <v>433</v>
      </c>
      <c r="Z374" s="552" t="str">
        <f t="shared" si="529"/>
        <v>NA-</v>
      </c>
      <c r="AA374" s="552"/>
      <c r="AB374" s="552">
        <v>1</v>
      </c>
      <c r="AC374" s="552">
        <v>1</v>
      </c>
      <c r="AD374" s="552">
        <v>1</v>
      </c>
      <c r="AE374" s="552">
        <v>1</v>
      </c>
      <c r="AF374" s="552">
        <v>1</v>
      </c>
      <c r="AG374" s="542" t="s">
        <v>561</v>
      </c>
      <c r="AH374" s="552">
        <v>0</v>
      </c>
      <c r="AI374" s="552">
        <v>0</v>
      </c>
      <c r="AJ374" s="552">
        <v>1</v>
      </c>
      <c r="AK374" s="552">
        <v>1</v>
      </c>
      <c r="AL374" s="552">
        <v>1</v>
      </c>
      <c r="AM374" s="552">
        <v>0</v>
      </c>
      <c r="AN374" s="552">
        <v>0</v>
      </c>
      <c r="AO374" s="552">
        <v>1</v>
      </c>
      <c r="AP374" s="552">
        <v>1</v>
      </c>
      <c r="AQ374" s="552">
        <v>1</v>
      </c>
      <c r="AR374" s="552">
        <v>1</v>
      </c>
      <c r="AS374" s="552">
        <v>1</v>
      </c>
      <c r="AT374" s="552">
        <v>1</v>
      </c>
      <c r="AU374" s="552">
        <v>1</v>
      </c>
      <c r="AV374" s="592" t="s">
        <v>1132</v>
      </c>
      <c r="AW374" s="552" t="s">
        <v>562</v>
      </c>
      <c r="AX374" s="552"/>
      <c r="AY374" s="552" t="str">
        <f t="shared" si="527"/>
        <v>Yes</v>
      </c>
      <c r="AZ374" s="554" t="str">
        <f t="shared" si="530"/>
        <v>2:1:Ahead</v>
      </c>
      <c r="BA374" s="554" t="str">
        <f t="shared" si="531"/>
        <v>Broken Wire (# Broken Subconductors)</v>
      </c>
      <c r="BB374" s="552">
        <f t="shared" si="532"/>
        <v>4</v>
      </c>
      <c r="BC374" s="554" t="str">
        <f t="shared" si="533"/>
        <v>12:1:Ahead</v>
      </c>
      <c r="BD374" s="554" t="str">
        <f t="shared" si="534"/>
        <v>Broken Wire (# Broken Subconductors)</v>
      </c>
      <c r="BE374" s="552">
        <f t="shared" si="535"/>
        <v>4</v>
      </c>
      <c r="BF374" s="554" t="str">
        <f t="shared" si="536"/>
        <v/>
      </c>
      <c r="BG374" s="554" t="str">
        <f t="shared" si="537"/>
        <v/>
      </c>
      <c r="BH374" s="552" t="str">
        <f t="shared" si="538"/>
        <v/>
      </c>
      <c r="BI374" s="554" t="str">
        <f t="shared" si="539"/>
        <v/>
      </c>
      <c r="BJ374" s="554" t="str">
        <f t="shared" si="540"/>
        <v/>
      </c>
      <c r="BK374" s="552" t="str">
        <f t="shared" si="541"/>
        <v/>
      </c>
      <c r="BL374" s="554" t="str">
        <f t="shared" si="542"/>
        <v/>
      </c>
      <c r="BM374" s="554" t="str">
        <f t="shared" si="543"/>
        <v/>
      </c>
      <c r="BN374" s="552" t="str">
        <f t="shared" si="544"/>
        <v/>
      </c>
      <c r="BO374" s="554" t="str">
        <f t="shared" si="545"/>
        <v/>
      </c>
      <c r="BP374" s="554" t="str">
        <f t="shared" si="546"/>
        <v/>
      </c>
      <c r="BQ374" s="552" t="str">
        <f t="shared" si="547"/>
        <v/>
      </c>
      <c r="BR374" s="554"/>
      <c r="BS374" s="554"/>
      <c r="BT374" s="554"/>
      <c r="BU374" s="554"/>
      <c r="BV374" s="554"/>
      <c r="BW374" s="554"/>
      <c r="BX374" s="554"/>
      <c r="BY374" s="554"/>
      <c r="BZ374" s="554"/>
      <c r="CA374" s="554"/>
      <c r="CB374" s="554"/>
      <c r="CC374" s="554"/>
      <c r="CD374" s="554"/>
      <c r="CE374" s="554"/>
      <c r="CF374" s="554"/>
      <c r="CG374" s="554"/>
      <c r="CH374" s="554"/>
      <c r="CI374" s="554"/>
      <c r="CJ374" s="554"/>
      <c r="CK374" s="554"/>
      <c r="CL374" s="554"/>
      <c r="CM374" s="554"/>
      <c r="CN374" s="554"/>
      <c r="CO374" s="554"/>
      <c r="CP374" s="554"/>
      <c r="CQ374" s="554"/>
      <c r="CR374" s="554"/>
      <c r="CS374" s="554"/>
      <c r="CT374" s="554"/>
      <c r="CU374" s="554"/>
      <c r="CV374" s="554"/>
      <c r="CW374" s="554"/>
      <c r="CX374" s="554"/>
      <c r="CY374" s="554"/>
      <c r="CZ374" s="554"/>
      <c r="DA374" s="554"/>
      <c r="DB374" s="554"/>
      <c r="DC374" s="554"/>
      <c r="DD374" s="554"/>
      <c r="DE374" s="534"/>
      <c r="DF374" s="534"/>
      <c r="DG374" s="534"/>
    </row>
    <row r="375" spans="1:111" ht="15" x14ac:dyDescent="0.25">
      <c r="A375" s="549">
        <f>IFERROR(IF(INDEX('Weather Cases'!$E$10:$E$94,MATCH('Load Criteria'!X375,'Weather Cases'!$H$10:$H$94,0),1)=1,1,"-"),"-")</f>
        <v>1</v>
      </c>
      <c r="B375" s="555" t="s">
        <v>558</v>
      </c>
      <c r="C375" s="556" t="str">
        <f>IF('Weather Cases'!$E$46=0,"","DC/SC")</f>
        <v>DC/SC</v>
      </c>
      <c r="D375" s="555" t="s">
        <v>579</v>
      </c>
      <c r="E375" s="556">
        <v>1</v>
      </c>
      <c r="F375" s="556" t="s">
        <v>22</v>
      </c>
      <c r="G375" s="556" t="str">
        <f>IFERROR(IF(MID('Load Criteria'!X375,FIND("_",'Load Criteria'!X375,1)+1,1)=LEFT(Control!$D$23,1),"YES","-"),"-")</f>
        <v>-</v>
      </c>
      <c r="H375" s="549" t="str">
        <f>IF(INDEX('Weather Cases'!$G$10:$G$94,MATCH('Load Criteria'!X375,'Weather Cases'!$H$10:$H$94,0),1)="H","YES","")</f>
        <v>YES</v>
      </c>
      <c r="I375" s="557" t="s">
        <v>333</v>
      </c>
      <c r="J375" s="550">
        <f>Control!$D$25</f>
        <v>1</v>
      </c>
      <c r="K375" s="508" t="s">
        <v>571</v>
      </c>
      <c r="L375" s="508" t="s">
        <v>40</v>
      </c>
      <c r="M375" s="508">
        <v>2</v>
      </c>
      <c r="N375" s="550"/>
      <c r="O375" s="550"/>
      <c r="P375" s="392"/>
      <c r="Q375" s="392"/>
      <c r="R375" s="392"/>
      <c r="S375" s="392"/>
      <c r="T375" s="392"/>
      <c r="U375" s="255" t="s">
        <v>574</v>
      </c>
      <c r="V375" s="551"/>
      <c r="W375" s="542" t="str">
        <f t="shared" si="548"/>
        <v>RI0001_8+TB2 NA-</v>
      </c>
      <c r="X375" s="552" t="str">
        <f>I375&amp;TEXT(J375,"0000")&amp;"_"&amp;LEFT(Control!$D$22,LEN(Control!$D$22)-2)</f>
        <v>RI0001_8</v>
      </c>
      <c r="Y375" s="552" t="s">
        <v>433</v>
      </c>
      <c r="Z375" s="552" t="str">
        <f t="shared" si="529"/>
        <v>NA-</v>
      </c>
      <c r="AA375" s="552"/>
      <c r="AB375" s="552">
        <v>1</v>
      </c>
      <c r="AC375" s="552">
        <v>1</v>
      </c>
      <c r="AD375" s="552">
        <v>1</v>
      </c>
      <c r="AE375" s="552">
        <v>1</v>
      </c>
      <c r="AF375" s="552">
        <v>1</v>
      </c>
      <c r="AG375" s="542" t="s">
        <v>561</v>
      </c>
      <c r="AH375" s="552">
        <v>0</v>
      </c>
      <c r="AI375" s="552">
        <v>0</v>
      </c>
      <c r="AJ375" s="552">
        <v>1</v>
      </c>
      <c r="AK375" s="552">
        <v>1</v>
      </c>
      <c r="AL375" s="552">
        <v>1</v>
      </c>
      <c r="AM375" s="552">
        <v>0</v>
      </c>
      <c r="AN375" s="552">
        <v>0</v>
      </c>
      <c r="AO375" s="552">
        <v>1</v>
      </c>
      <c r="AP375" s="552">
        <v>1</v>
      </c>
      <c r="AQ375" s="552">
        <v>1</v>
      </c>
      <c r="AR375" s="552">
        <v>1</v>
      </c>
      <c r="AS375" s="552">
        <v>1</v>
      </c>
      <c r="AT375" s="552">
        <v>1</v>
      </c>
      <c r="AU375" s="552">
        <v>1</v>
      </c>
      <c r="AV375" s="592" t="s">
        <v>1132</v>
      </c>
      <c r="AW375" s="552" t="s">
        <v>562</v>
      </c>
      <c r="AX375" s="552"/>
      <c r="AY375" s="552" t="str">
        <f t="shared" si="527"/>
        <v>Yes</v>
      </c>
      <c r="AZ375" s="554" t="str">
        <f t="shared" si="530"/>
        <v>2:1:Back</v>
      </c>
      <c r="BA375" s="554" t="str">
        <f t="shared" si="531"/>
        <v>Broken Wire (# Broken Subconductors)</v>
      </c>
      <c r="BB375" s="552">
        <f t="shared" si="532"/>
        <v>4</v>
      </c>
      <c r="BC375" s="554" t="str">
        <f t="shared" si="533"/>
        <v>12:1:Back</v>
      </c>
      <c r="BD375" s="554" t="str">
        <f t="shared" si="534"/>
        <v>Broken Wire (# Broken Subconductors)</v>
      </c>
      <c r="BE375" s="552">
        <f t="shared" si="535"/>
        <v>4</v>
      </c>
      <c r="BF375" s="554" t="str">
        <f t="shared" si="536"/>
        <v/>
      </c>
      <c r="BG375" s="554" t="str">
        <f t="shared" si="537"/>
        <v/>
      </c>
      <c r="BH375" s="552" t="str">
        <f t="shared" si="538"/>
        <v/>
      </c>
      <c r="BI375" s="554" t="str">
        <f t="shared" si="539"/>
        <v/>
      </c>
      <c r="BJ375" s="554" t="str">
        <f t="shared" si="540"/>
        <v/>
      </c>
      <c r="BK375" s="552" t="str">
        <f t="shared" si="541"/>
        <v/>
      </c>
      <c r="BL375" s="554" t="str">
        <f t="shared" si="542"/>
        <v/>
      </c>
      <c r="BM375" s="554" t="str">
        <f t="shared" si="543"/>
        <v/>
      </c>
      <c r="BN375" s="552" t="str">
        <f t="shared" si="544"/>
        <v/>
      </c>
      <c r="BO375" s="554" t="str">
        <f t="shared" si="545"/>
        <v/>
      </c>
      <c r="BP375" s="554" t="str">
        <f t="shared" si="546"/>
        <v/>
      </c>
      <c r="BQ375" s="552" t="str">
        <f t="shared" si="547"/>
        <v/>
      </c>
      <c r="BR375" s="554"/>
      <c r="BS375" s="554"/>
      <c r="BT375" s="554"/>
      <c r="BU375" s="554"/>
      <c r="BV375" s="554"/>
      <c r="BW375" s="554"/>
      <c r="BX375" s="554"/>
      <c r="BY375" s="554"/>
      <c r="BZ375" s="554"/>
      <c r="CA375" s="554"/>
      <c r="CB375" s="554"/>
      <c r="CC375" s="554"/>
      <c r="CD375" s="554"/>
      <c r="CE375" s="554"/>
      <c r="CF375" s="554"/>
      <c r="CG375" s="554"/>
      <c r="CH375" s="554"/>
      <c r="CI375" s="554"/>
      <c r="CJ375" s="554"/>
      <c r="CK375" s="554"/>
      <c r="CL375" s="554"/>
      <c r="CM375" s="554"/>
      <c r="CN375" s="554"/>
      <c r="CO375" s="554"/>
      <c r="CP375" s="554"/>
      <c r="CQ375" s="554"/>
      <c r="CR375" s="554"/>
      <c r="CS375" s="554"/>
      <c r="CT375" s="554"/>
      <c r="CU375" s="554"/>
      <c r="CV375" s="554"/>
      <c r="CW375" s="554"/>
      <c r="CX375" s="554"/>
      <c r="CY375" s="554"/>
      <c r="CZ375" s="554"/>
      <c r="DA375" s="554"/>
      <c r="DB375" s="554"/>
      <c r="DC375" s="554"/>
      <c r="DD375" s="554"/>
      <c r="DE375" s="534"/>
      <c r="DF375" s="534"/>
      <c r="DG375" s="534"/>
    </row>
    <row r="376" spans="1:111" ht="15" x14ac:dyDescent="0.25">
      <c r="A376" s="549">
        <f>IFERROR(IF(INDEX('Weather Cases'!$E$10:$E$94,MATCH('Load Criteria'!X376,'Weather Cases'!$H$10:$H$94,0),1)=1,1,"-"),"-")</f>
        <v>1</v>
      </c>
      <c r="B376" s="555" t="s">
        <v>558</v>
      </c>
      <c r="C376" s="556" t="str">
        <f>IF('Weather Cases'!$E$46=0,"","DC/SC")</f>
        <v>DC/SC</v>
      </c>
      <c r="D376" s="555" t="s">
        <v>579</v>
      </c>
      <c r="E376" s="556">
        <v>1</v>
      </c>
      <c r="F376" s="556" t="s">
        <v>22</v>
      </c>
      <c r="G376" s="556" t="str">
        <f>IFERROR(IF(MID('Load Criteria'!X376,FIND("_",'Load Criteria'!X376,1)+1,1)=LEFT(Control!$D$23,1),"YES","-"),"-")</f>
        <v>-</v>
      </c>
      <c r="H376" s="549" t="str">
        <f>IF(INDEX('Weather Cases'!$G$10:$G$94,MATCH('Load Criteria'!X376,'Weather Cases'!$H$10:$H$94,0),1)="H","YES","")</f>
        <v>YES</v>
      </c>
      <c r="I376" s="557" t="s">
        <v>333</v>
      </c>
      <c r="J376" s="550">
        <f>Control!$D$25</f>
        <v>1</v>
      </c>
      <c r="K376" s="508" t="s">
        <v>571</v>
      </c>
      <c r="L376" s="508" t="s">
        <v>24</v>
      </c>
      <c r="M376" s="508">
        <v>3</v>
      </c>
      <c r="N376" s="550"/>
      <c r="O376" s="550"/>
      <c r="P376" s="392"/>
      <c r="Q376" s="392"/>
      <c r="R376" s="392"/>
      <c r="S376" s="392"/>
      <c r="T376" s="392"/>
      <c r="U376" s="255" t="s">
        <v>574</v>
      </c>
      <c r="V376" s="551"/>
      <c r="W376" s="542" t="str">
        <f t="shared" si="548"/>
        <v>RI0001_8+TA3 NA-</v>
      </c>
      <c r="X376" s="552" t="str">
        <f>I376&amp;TEXT(J376,"0000")&amp;"_"&amp;LEFT(Control!$D$22,LEN(Control!$D$22)-2)</f>
        <v>RI0001_8</v>
      </c>
      <c r="Y376" s="552" t="s">
        <v>433</v>
      </c>
      <c r="Z376" s="552" t="str">
        <f t="shared" si="529"/>
        <v>NA-</v>
      </c>
      <c r="AA376" s="552"/>
      <c r="AB376" s="552">
        <v>1</v>
      </c>
      <c r="AC376" s="552">
        <v>1</v>
      </c>
      <c r="AD376" s="552">
        <v>1</v>
      </c>
      <c r="AE376" s="552">
        <v>1</v>
      </c>
      <c r="AF376" s="552">
        <v>1</v>
      </c>
      <c r="AG376" s="542" t="s">
        <v>561</v>
      </c>
      <c r="AH376" s="552">
        <v>0</v>
      </c>
      <c r="AI376" s="552">
        <v>0</v>
      </c>
      <c r="AJ376" s="552">
        <v>1</v>
      </c>
      <c r="AK376" s="552">
        <v>1</v>
      </c>
      <c r="AL376" s="552">
        <v>1</v>
      </c>
      <c r="AM376" s="552">
        <v>0</v>
      </c>
      <c r="AN376" s="552">
        <v>0</v>
      </c>
      <c r="AO376" s="552">
        <v>1</v>
      </c>
      <c r="AP376" s="552">
        <v>1</v>
      </c>
      <c r="AQ376" s="552">
        <v>1</v>
      </c>
      <c r="AR376" s="552">
        <v>1</v>
      </c>
      <c r="AS376" s="552">
        <v>1</v>
      </c>
      <c r="AT376" s="552">
        <v>1</v>
      </c>
      <c r="AU376" s="552">
        <v>1</v>
      </c>
      <c r="AV376" s="592" t="s">
        <v>1132</v>
      </c>
      <c r="AW376" s="552" t="s">
        <v>562</v>
      </c>
      <c r="AX376" s="552"/>
      <c r="AY376" s="552" t="str">
        <f t="shared" si="527"/>
        <v>Yes</v>
      </c>
      <c r="AZ376" s="554" t="str">
        <f t="shared" si="530"/>
        <v>3:1:Ahead</v>
      </c>
      <c r="BA376" s="554" t="str">
        <f t="shared" si="531"/>
        <v>Broken Wire (# Broken Subconductors)</v>
      </c>
      <c r="BB376" s="552">
        <f t="shared" si="532"/>
        <v>4</v>
      </c>
      <c r="BC376" s="554" t="str">
        <f t="shared" si="533"/>
        <v>13:1:Ahead</v>
      </c>
      <c r="BD376" s="554" t="str">
        <f t="shared" si="534"/>
        <v>Broken Wire (# Broken Subconductors)</v>
      </c>
      <c r="BE376" s="552">
        <f t="shared" si="535"/>
        <v>4</v>
      </c>
      <c r="BF376" s="554" t="str">
        <f t="shared" si="536"/>
        <v/>
      </c>
      <c r="BG376" s="554" t="str">
        <f t="shared" si="537"/>
        <v/>
      </c>
      <c r="BH376" s="552" t="str">
        <f t="shared" si="538"/>
        <v/>
      </c>
      <c r="BI376" s="554" t="str">
        <f t="shared" si="539"/>
        <v/>
      </c>
      <c r="BJ376" s="554" t="str">
        <f t="shared" si="540"/>
        <v/>
      </c>
      <c r="BK376" s="552" t="str">
        <f t="shared" si="541"/>
        <v/>
      </c>
      <c r="BL376" s="554" t="str">
        <f t="shared" si="542"/>
        <v/>
      </c>
      <c r="BM376" s="554" t="str">
        <f t="shared" si="543"/>
        <v/>
      </c>
      <c r="BN376" s="552" t="str">
        <f t="shared" si="544"/>
        <v/>
      </c>
      <c r="BO376" s="554" t="str">
        <f t="shared" si="545"/>
        <v/>
      </c>
      <c r="BP376" s="554" t="str">
        <f t="shared" si="546"/>
        <v/>
      </c>
      <c r="BQ376" s="552" t="str">
        <f t="shared" si="547"/>
        <v/>
      </c>
      <c r="BR376" s="554"/>
      <c r="BS376" s="554"/>
      <c r="BT376" s="554"/>
      <c r="BU376" s="554"/>
      <c r="BV376" s="554"/>
      <c r="BW376" s="554"/>
      <c r="BX376" s="554"/>
      <c r="BY376" s="554"/>
      <c r="BZ376" s="554"/>
      <c r="CA376" s="554"/>
      <c r="CB376" s="554"/>
      <c r="CC376" s="554"/>
      <c r="CD376" s="554"/>
      <c r="CE376" s="554"/>
      <c r="CF376" s="554"/>
      <c r="CG376" s="554"/>
      <c r="CH376" s="554"/>
      <c r="CI376" s="554"/>
      <c r="CJ376" s="554"/>
      <c r="CK376" s="554"/>
      <c r="CL376" s="554"/>
      <c r="CM376" s="554"/>
      <c r="CN376" s="554"/>
      <c r="CO376" s="554"/>
      <c r="CP376" s="554"/>
      <c r="CQ376" s="554"/>
      <c r="CR376" s="554"/>
      <c r="CS376" s="554"/>
      <c r="CT376" s="554"/>
      <c r="CU376" s="554"/>
      <c r="CV376" s="554"/>
      <c r="CW376" s="554"/>
      <c r="CX376" s="554"/>
      <c r="CY376" s="554"/>
      <c r="CZ376" s="554"/>
      <c r="DA376" s="554"/>
      <c r="DB376" s="554"/>
      <c r="DC376" s="554"/>
      <c r="DD376" s="554"/>
      <c r="DE376" s="534"/>
      <c r="DF376" s="534"/>
      <c r="DG376" s="534"/>
    </row>
    <row r="377" spans="1:111" ht="15" x14ac:dyDescent="0.25">
      <c r="A377" s="549">
        <f>IFERROR(IF(INDEX('Weather Cases'!$E$10:$E$94,MATCH('Load Criteria'!X377,'Weather Cases'!$H$10:$H$94,0),1)=1,1,"-"),"-")</f>
        <v>1</v>
      </c>
      <c r="B377" s="555" t="s">
        <v>558</v>
      </c>
      <c r="C377" s="556" t="str">
        <f>IF('Weather Cases'!$E$46=0,"","DC/SC")</f>
        <v>DC/SC</v>
      </c>
      <c r="D377" s="555" t="s">
        <v>579</v>
      </c>
      <c r="E377" s="556">
        <v>1</v>
      </c>
      <c r="F377" s="556" t="s">
        <v>22</v>
      </c>
      <c r="G377" s="556" t="str">
        <f>IFERROR(IF(MID('Load Criteria'!X377,FIND("_",'Load Criteria'!X377,1)+1,1)=LEFT(Control!$D$23,1),"YES","-"),"-")</f>
        <v>-</v>
      </c>
      <c r="H377" s="549" t="str">
        <f>IF(INDEX('Weather Cases'!$G$10:$G$94,MATCH('Load Criteria'!X377,'Weather Cases'!$H$10:$H$94,0),1)="H","YES","")</f>
        <v>YES</v>
      </c>
      <c r="I377" s="557" t="s">
        <v>333</v>
      </c>
      <c r="J377" s="550">
        <f>Control!$D$25</f>
        <v>1</v>
      </c>
      <c r="K377" s="508" t="s">
        <v>571</v>
      </c>
      <c r="L377" s="508" t="s">
        <v>40</v>
      </c>
      <c r="M377" s="508">
        <v>3</v>
      </c>
      <c r="N377" s="550"/>
      <c r="O377" s="550"/>
      <c r="P377" s="392"/>
      <c r="Q377" s="392"/>
      <c r="R377" s="392"/>
      <c r="S377" s="392"/>
      <c r="T377" s="392"/>
      <c r="U377" s="255" t="s">
        <v>574</v>
      </c>
      <c r="V377" s="551"/>
      <c r="W377" s="542" t="str">
        <f t="shared" si="548"/>
        <v>RI0001_8+TB3 NA-</v>
      </c>
      <c r="X377" s="552" t="str">
        <f>I377&amp;TEXT(J377,"0000")&amp;"_"&amp;LEFT(Control!$D$22,LEN(Control!$D$22)-2)</f>
        <v>RI0001_8</v>
      </c>
      <c r="Y377" s="552" t="s">
        <v>433</v>
      </c>
      <c r="Z377" s="552" t="str">
        <f t="shared" si="529"/>
        <v>NA-</v>
      </c>
      <c r="AA377" s="552"/>
      <c r="AB377" s="552">
        <v>1</v>
      </c>
      <c r="AC377" s="552">
        <v>1</v>
      </c>
      <c r="AD377" s="552">
        <v>1</v>
      </c>
      <c r="AE377" s="552">
        <v>1</v>
      </c>
      <c r="AF377" s="552">
        <v>1</v>
      </c>
      <c r="AG377" s="542" t="s">
        <v>561</v>
      </c>
      <c r="AH377" s="552">
        <v>0</v>
      </c>
      <c r="AI377" s="552">
        <v>0</v>
      </c>
      <c r="AJ377" s="552">
        <v>1</v>
      </c>
      <c r="AK377" s="552">
        <v>1</v>
      </c>
      <c r="AL377" s="552">
        <v>1</v>
      </c>
      <c r="AM377" s="552">
        <v>0</v>
      </c>
      <c r="AN377" s="552">
        <v>0</v>
      </c>
      <c r="AO377" s="552">
        <v>1</v>
      </c>
      <c r="AP377" s="552">
        <v>1</v>
      </c>
      <c r="AQ377" s="552">
        <v>1</v>
      </c>
      <c r="AR377" s="552">
        <v>1</v>
      </c>
      <c r="AS377" s="552">
        <v>1</v>
      </c>
      <c r="AT377" s="552">
        <v>1</v>
      </c>
      <c r="AU377" s="552">
        <v>1</v>
      </c>
      <c r="AV377" s="592" t="s">
        <v>1132</v>
      </c>
      <c r="AW377" s="552" t="s">
        <v>562</v>
      </c>
      <c r="AX377" s="552"/>
      <c r="AY377" s="552" t="str">
        <f t="shared" si="527"/>
        <v>Yes</v>
      </c>
      <c r="AZ377" s="554" t="str">
        <f t="shared" si="530"/>
        <v>3:1:Back</v>
      </c>
      <c r="BA377" s="554" t="str">
        <f t="shared" si="531"/>
        <v>Broken Wire (# Broken Subconductors)</v>
      </c>
      <c r="BB377" s="552">
        <f t="shared" si="532"/>
        <v>4</v>
      </c>
      <c r="BC377" s="554" t="str">
        <f t="shared" si="533"/>
        <v>13:1:Back</v>
      </c>
      <c r="BD377" s="554" t="str">
        <f t="shared" si="534"/>
        <v>Broken Wire (# Broken Subconductors)</v>
      </c>
      <c r="BE377" s="552">
        <f t="shared" si="535"/>
        <v>4</v>
      </c>
      <c r="BF377" s="554" t="str">
        <f t="shared" si="536"/>
        <v/>
      </c>
      <c r="BG377" s="554" t="str">
        <f t="shared" si="537"/>
        <v/>
      </c>
      <c r="BH377" s="552" t="str">
        <f t="shared" si="538"/>
        <v/>
      </c>
      <c r="BI377" s="554" t="str">
        <f t="shared" si="539"/>
        <v/>
      </c>
      <c r="BJ377" s="554" t="str">
        <f t="shared" si="540"/>
        <v/>
      </c>
      <c r="BK377" s="552" t="str">
        <f t="shared" si="541"/>
        <v/>
      </c>
      <c r="BL377" s="554" t="str">
        <f t="shared" si="542"/>
        <v/>
      </c>
      <c r="BM377" s="554" t="str">
        <f t="shared" si="543"/>
        <v/>
      </c>
      <c r="BN377" s="552" t="str">
        <f t="shared" si="544"/>
        <v/>
      </c>
      <c r="BO377" s="554" t="str">
        <f t="shared" si="545"/>
        <v/>
      </c>
      <c r="BP377" s="554" t="str">
        <f t="shared" si="546"/>
        <v/>
      </c>
      <c r="BQ377" s="552" t="str">
        <f t="shared" si="547"/>
        <v/>
      </c>
      <c r="BR377" s="554"/>
      <c r="BS377" s="554"/>
      <c r="BT377" s="554"/>
      <c r="BU377" s="554"/>
      <c r="BV377" s="554"/>
      <c r="BW377" s="554"/>
      <c r="BX377" s="554"/>
      <c r="BY377" s="554"/>
      <c r="BZ377" s="554"/>
      <c r="CA377" s="554"/>
      <c r="CB377" s="554"/>
      <c r="CC377" s="554"/>
      <c r="CD377" s="554"/>
      <c r="CE377" s="554"/>
      <c r="CF377" s="554"/>
      <c r="CG377" s="554"/>
      <c r="CH377" s="554"/>
      <c r="CI377" s="554"/>
      <c r="CJ377" s="554"/>
      <c r="CK377" s="554"/>
      <c r="CL377" s="554"/>
      <c r="CM377" s="554"/>
      <c r="CN377" s="554"/>
      <c r="CO377" s="554"/>
      <c r="CP377" s="554"/>
      <c r="CQ377" s="554"/>
      <c r="CR377" s="554"/>
      <c r="CS377" s="554"/>
      <c r="CT377" s="554"/>
      <c r="CU377" s="554"/>
      <c r="CV377" s="554"/>
      <c r="CW377" s="554"/>
      <c r="CX377" s="554"/>
      <c r="CY377" s="554"/>
      <c r="CZ377" s="554"/>
      <c r="DA377" s="554"/>
      <c r="DB377" s="554"/>
      <c r="DC377" s="554"/>
      <c r="DD377" s="554"/>
      <c r="DE377" s="534"/>
      <c r="DF377" s="534"/>
      <c r="DG377" s="534"/>
    </row>
    <row r="378" spans="1:111" ht="15" x14ac:dyDescent="0.25">
      <c r="A378" s="549">
        <f>IFERROR(IF(INDEX('Weather Cases'!$E$10:$E$94,MATCH('Load Criteria'!X378,'Weather Cases'!$H$10:$H$94,0),1)=1,1,"-"),"-")</f>
        <v>1</v>
      </c>
      <c r="B378" s="555" t="s">
        <v>558</v>
      </c>
      <c r="C378" s="556" t="str">
        <f>IF('Weather Cases'!$E$46=0,"","DC/SC")</f>
        <v>DC/SC</v>
      </c>
      <c r="D378" s="555" t="s">
        <v>579</v>
      </c>
      <c r="E378" s="556">
        <v>1</v>
      </c>
      <c r="F378" s="556" t="s">
        <v>22</v>
      </c>
      <c r="G378" s="556" t="str">
        <f>IFERROR(IF(MID('Load Criteria'!X378,FIND("_",'Load Criteria'!X378,1)+1,1)=LEFT(Control!$D$23,1),"YES","-"),"-")</f>
        <v>-</v>
      </c>
      <c r="H378" s="549" t="str">
        <f>IF(INDEX('Weather Cases'!$G$10:$G$94,MATCH('Load Criteria'!X378,'Weather Cases'!$H$10:$H$94,0),1)="H","YES","")</f>
        <v>YES</v>
      </c>
      <c r="I378" s="557" t="s">
        <v>333</v>
      </c>
      <c r="J378" s="550">
        <f>Control!$D$25</f>
        <v>1</v>
      </c>
      <c r="K378" s="508" t="s">
        <v>571</v>
      </c>
      <c r="L378" s="508" t="s">
        <v>24</v>
      </c>
      <c r="M378" s="550">
        <v>7</v>
      </c>
      <c r="N378" s="550"/>
      <c r="O378" s="550"/>
      <c r="P378" s="392"/>
      <c r="Q378" s="392"/>
      <c r="R378" s="392"/>
      <c r="S378" s="392"/>
      <c r="T378" s="392"/>
      <c r="U378" s="255" t="s">
        <v>574</v>
      </c>
      <c r="V378" s="551"/>
      <c r="W378" s="542" t="str">
        <f t="shared" si="548"/>
        <v>RI0001_8+TA7 NA-</v>
      </c>
      <c r="X378" s="552" t="str">
        <f>I378&amp;TEXT(J378,"0000")&amp;"_"&amp;LEFT(Control!$D$22,LEN(Control!$D$22)-2)</f>
        <v>RI0001_8</v>
      </c>
      <c r="Y378" s="552" t="s">
        <v>433</v>
      </c>
      <c r="Z378" s="552" t="str">
        <f t="shared" si="529"/>
        <v>NA-</v>
      </c>
      <c r="AA378" s="552"/>
      <c r="AB378" s="552">
        <v>1</v>
      </c>
      <c r="AC378" s="552">
        <v>1</v>
      </c>
      <c r="AD378" s="552">
        <v>1</v>
      </c>
      <c r="AE378" s="552">
        <v>1</v>
      </c>
      <c r="AF378" s="552">
        <v>1</v>
      </c>
      <c r="AG378" s="542" t="s">
        <v>561</v>
      </c>
      <c r="AH378" s="552">
        <v>0</v>
      </c>
      <c r="AI378" s="552">
        <v>0</v>
      </c>
      <c r="AJ378" s="552">
        <v>1</v>
      </c>
      <c r="AK378" s="552">
        <v>1</v>
      </c>
      <c r="AL378" s="552">
        <v>1</v>
      </c>
      <c r="AM378" s="552">
        <v>0</v>
      </c>
      <c r="AN378" s="552">
        <v>0</v>
      </c>
      <c r="AO378" s="552">
        <v>1</v>
      </c>
      <c r="AP378" s="552">
        <v>1</v>
      </c>
      <c r="AQ378" s="552">
        <v>1</v>
      </c>
      <c r="AR378" s="552">
        <v>1</v>
      </c>
      <c r="AS378" s="552">
        <v>1</v>
      </c>
      <c r="AT378" s="552">
        <v>1</v>
      </c>
      <c r="AU378" s="552">
        <v>1</v>
      </c>
      <c r="AV378" s="592" t="s">
        <v>1132</v>
      </c>
      <c r="AW378" s="552" t="s">
        <v>562</v>
      </c>
      <c r="AX378" s="552"/>
      <c r="AY378" s="552" t="str">
        <f t="shared" si="527"/>
        <v>Yes</v>
      </c>
      <c r="AZ378" s="554" t="str">
        <f t="shared" si="530"/>
        <v>7:1:Ahead</v>
      </c>
      <c r="BA378" s="554" t="str">
        <f t="shared" si="531"/>
        <v>Broken Wire (# Broken Subconductors)</v>
      </c>
      <c r="BB378" s="552">
        <f t="shared" si="532"/>
        <v>4</v>
      </c>
      <c r="BC378" s="554" t="str">
        <f t="shared" si="533"/>
        <v>17:1:Ahead</v>
      </c>
      <c r="BD378" s="554" t="str">
        <f t="shared" si="534"/>
        <v>Broken Wire (# Broken Subconductors)</v>
      </c>
      <c r="BE378" s="552">
        <f t="shared" si="535"/>
        <v>4</v>
      </c>
      <c r="BF378" s="554" t="str">
        <f t="shared" si="536"/>
        <v/>
      </c>
      <c r="BG378" s="554" t="str">
        <f t="shared" si="537"/>
        <v/>
      </c>
      <c r="BH378" s="552" t="str">
        <f t="shared" si="538"/>
        <v/>
      </c>
      <c r="BI378" s="554" t="str">
        <f t="shared" si="539"/>
        <v/>
      </c>
      <c r="BJ378" s="554" t="str">
        <f t="shared" si="540"/>
        <v/>
      </c>
      <c r="BK378" s="552" t="str">
        <f t="shared" si="541"/>
        <v/>
      </c>
      <c r="BL378" s="554" t="str">
        <f t="shared" si="542"/>
        <v/>
      </c>
      <c r="BM378" s="554" t="str">
        <f t="shared" si="543"/>
        <v/>
      </c>
      <c r="BN378" s="552" t="str">
        <f t="shared" si="544"/>
        <v/>
      </c>
      <c r="BO378" s="554" t="str">
        <f t="shared" si="545"/>
        <v/>
      </c>
      <c r="BP378" s="554" t="str">
        <f t="shared" si="546"/>
        <v/>
      </c>
      <c r="BQ378" s="552" t="str">
        <f t="shared" si="547"/>
        <v/>
      </c>
      <c r="BR378" s="554"/>
      <c r="BS378" s="554"/>
      <c r="BT378" s="554"/>
      <c r="BU378" s="554"/>
      <c r="BV378" s="554"/>
      <c r="BW378" s="554"/>
      <c r="BX378" s="554"/>
      <c r="BY378" s="554"/>
      <c r="BZ378" s="554"/>
      <c r="CA378" s="554"/>
      <c r="CB378" s="554"/>
      <c r="CC378" s="554"/>
      <c r="CD378" s="554"/>
      <c r="CE378" s="554"/>
      <c r="CF378" s="554"/>
      <c r="CG378" s="554"/>
      <c r="CH378" s="554"/>
      <c r="CI378" s="554"/>
      <c r="CJ378" s="554"/>
      <c r="CK378" s="554"/>
      <c r="CL378" s="554"/>
      <c r="CM378" s="554"/>
      <c r="CN378" s="554"/>
      <c r="CO378" s="554"/>
      <c r="CP378" s="554"/>
      <c r="CQ378" s="554"/>
      <c r="CR378" s="554"/>
      <c r="CS378" s="554"/>
      <c r="CT378" s="554"/>
      <c r="CU378" s="554"/>
      <c r="CV378" s="554"/>
      <c r="CW378" s="554"/>
      <c r="CX378" s="554"/>
      <c r="CY378" s="554"/>
      <c r="CZ378" s="554"/>
      <c r="DA378" s="554"/>
      <c r="DB378" s="554"/>
      <c r="DC378" s="554"/>
      <c r="DD378" s="554"/>
      <c r="DE378" s="534"/>
      <c r="DF378" s="534"/>
      <c r="DG378" s="534"/>
    </row>
    <row r="379" spans="1:111" ht="15" x14ac:dyDescent="0.25">
      <c r="A379" s="549">
        <f>IFERROR(IF(INDEX('Weather Cases'!$E$10:$E$94,MATCH('Load Criteria'!X379,'Weather Cases'!$H$10:$H$94,0),1)=1,1,"-"),"-")</f>
        <v>1</v>
      </c>
      <c r="B379" s="555" t="s">
        <v>558</v>
      </c>
      <c r="C379" s="556" t="str">
        <f>IF('Weather Cases'!$E$46=0,"","DC/SC")</f>
        <v>DC/SC</v>
      </c>
      <c r="D379" s="555" t="s">
        <v>579</v>
      </c>
      <c r="E379" s="556">
        <v>1</v>
      </c>
      <c r="F379" s="556" t="s">
        <v>22</v>
      </c>
      <c r="G379" s="556" t="str">
        <f>IFERROR(IF(MID('Load Criteria'!X379,FIND("_",'Load Criteria'!X379,1)+1,1)=LEFT(Control!$D$23,1),"YES","-"),"-")</f>
        <v>-</v>
      </c>
      <c r="H379" s="549" t="str">
        <f>IF(INDEX('Weather Cases'!$G$10:$G$94,MATCH('Load Criteria'!X379,'Weather Cases'!$H$10:$H$94,0),1)="H","YES","")</f>
        <v>YES</v>
      </c>
      <c r="I379" s="557" t="s">
        <v>333</v>
      </c>
      <c r="J379" s="550">
        <f>Control!$D$25</f>
        <v>1</v>
      </c>
      <c r="K379" s="508" t="s">
        <v>571</v>
      </c>
      <c r="L379" s="508" t="s">
        <v>40</v>
      </c>
      <c r="M379" s="550">
        <v>7</v>
      </c>
      <c r="N379" s="550"/>
      <c r="O379" s="550"/>
      <c r="P379" s="392"/>
      <c r="Q379" s="392"/>
      <c r="R379" s="392"/>
      <c r="S379" s="392"/>
      <c r="T379" s="392"/>
      <c r="U379" s="255" t="s">
        <v>574</v>
      </c>
      <c r="V379" s="551"/>
      <c r="W379" s="542" t="str">
        <f t="shared" si="548"/>
        <v>RI0001_8+TB7 NA-</v>
      </c>
      <c r="X379" s="552" t="str">
        <f>I379&amp;TEXT(J379,"0000")&amp;"_"&amp;LEFT(Control!$D$22,LEN(Control!$D$22)-2)</f>
        <v>RI0001_8</v>
      </c>
      <c r="Y379" s="552" t="s">
        <v>433</v>
      </c>
      <c r="Z379" s="552" t="str">
        <f t="shared" si="529"/>
        <v>NA-</v>
      </c>
      <c r="AA379" s="552"/>
      <c r="AB379" s="552">
        <v>1</v>
      </c>
      <c r="AC379" s="552">
        <v>1</v>
      </c>
      <c r="AD379" s="552">
        <v>1</v>
      </c>
      <c r="AE379" s="552">
        <v>1</v>
      </c>
      <c r="AF379" s="552">
        <v>1</v>
      </c>
      <c r="AG379" s="542" t="s">
        <v>561</v>
      </c>
      <c r="AH379" s="552">
        <v>0</v>
      </c>
      <c r="AI379" s="552">
        <v>0</v>
      </c>
      <c r="AJ379" s="552">
        <v>1</v>
      </c>
      <c r="AK379" s="552">
        <v>1</v>
      </c>
      <c r="AL379" s="552">
        <v>1</v>
      </c>
      <c r="AM379" s="552">
        <v>0</v>
      </c>
      <c r="AN379" s="552">
        <v>0</v>
      </c>
      <c r="AO379" s="552">
        <v>1</v>
      </c>
      <c r="AP379" s="552">
        <v>1</v>
      </c>
      <c r="AQ379" s="552">
        <v>1</v>
      </c>
      <c r="AR379" s="552">
        <v>1</v>
      </c>
      <c r="AS379" s="552">
        <v>1</v>
      </c>
      <c r="AT379" s="552">
        <v>1</v>
      </c>
      <c r="AU379" s="552">
        <v>1</v>
      </c>
      <c r="AV379" s="592" t="s">
        <v>1132</v>
      </c>
      <c r="AW379" s="552" t="s">
        <v>562</v>
      </c>
      <c r="AX379" s="552"/>
      <c r="AY379" s="552" t="str">
        <f t="shared" si="527"/>
        <v>Yes</v>
      </c>
      <c r="AZ379" s="554" t="str">
        <f t="shared" si="530"/>
        <v>7:1:Back</v>
      </c>
      <c r="BA379" s="554" t="str">
        <f t="shared" si="531"/>
        <v>Broken Wire (# Broken Subconductors)</v>
      </c>
      <c r="BB379" s="552">
        <f t="shared" si="532"/>
        <v>4</v>
      </c>
      <c r="BC379" s="554" t="str">
        <f t="shared" si="533"/>
        <v>17:1:Back</v>
      </c>
      <c r="BD379" s="554" t="str">
        <f t="shared" si="534"/>
        <v>Broken Wire (# Broken Subconductors)</v>
      </c>
      <c r="BE379" s="552">
        <f t="shared" si="535"/>
        <v>4</v>
      </c>
      <c r="BF379" s="554" t="str">
        <f t="shared" si="536"/>
        <v/>
      </c>
      <c r="BG379" s="554" t="str">
        <f t="shared" si="537"/>
        <v/>
      </c>
      <c r="BH379" s="552" t="str">
        <f t="shared" si="538"/>
        <v/>
      </c>
      <c r="BI379" s="554" t="str">
        <f t="shared" si="539"/>
        <v/>
      </c>
      <c r="BJ379" s="554" t="str">
        <f t="shared" si="540"/>
        <v/>
      </c>
      <c r="BK379" s="552" t="str">
        <f t="shared" si="541"/>
        <v/>
      </c>
      <c r="BL379" s="554" t="str">
        <f t="shared" si="542"/>
        <v/>
      </c>
      <c r="BM379" s="554" t="str">
        <f t="shared" si="543"/>
        <v/>
      </c>
      <c r="BN379" s="552" t="str">
        <f t="shared" si="544"/>
        <v/>
      </c>
      <c r="BO379" s="554" t="str">
        <f t="shared" si="545"/>
        <v/>
      </c>
      <c r="BP379" s="554" t="str">
        <f t="shared" si="546"/>
        <v/>
      </c>
      <c r="BQ379" s="552" t="str">
        <f t="shared" si="547"/>
        <v/>
      </c>
      <c r="BR379" s="554"/>
      <c r="BS379" s="554"/>
      <c r="BT379" s="554"/>
      <c r="BU379" s="554"/>
      <c r="BV379" s="554"/>
      <c r="BW379" s="554"/>
      <c r="BX379" s="554"/>
      <c r="BY379" s="554"/>
      <c r="BZ379" s="554"/>
      <c r="CA379" s="554"/>
      <c r="CB379" s="554"/>
      <c r="CC379" s="554"/>
      <c r="CD379" s="554"/>
      <c r="CE379" s="554"/>
      <c r="CF379" s="554"/>
      <c r="CG379" s="554"/>
      <c r="CH379" s="554"/>
      <c r="CI379" s="554"/>
      <c r="CJ379" s="554"/>
      <c r="CK379" s="554"/>
      <c r="CL379" s="554"/>
      <c r="CM379" s="554"/>
      <c r="CN379" s="554"/>
      <c r="CO379" s="554"/>
      <c r="CP379" s="554"/>
      <c r="CQ379" s="554"/>
      <c r="CR379" s="554"/>
      <c r="CS379" s="554"/>
      <c r="CT379" s="554"/>
      <c r="CU379" s="554"/>
      <c r="CV379" s="554"/>
      <c r="CW379" s="554"/>
      <c r="CX379" s="554"/>
      <c r="CY379" s="554"/>
      <c r="CZ379" s="554"/>
      <c r="DA379" s="554"/>
      <c r="DB379" s="554"/>
      <c r="DC379" s="554"/>
      <c r="DD379" s="554"/>
      <c r="DE379" s="534"/>
      <c r="DF379" s="534"/>
      <c r="DG379" s="534"/>
    </row>
    <row r="380" spans="1:111" ht="15" x14ac:dyDescent="0.25">
      <c r="A380" s="549">
        <f>IFERROR(IF(INDEX('Weather Cases'!$E$10:$E$94,MATCH('Load Criteria'!X380,'Weather Cases'!$H$10:$H$94,0),1)=1,1,"-"),"-")</f>
        <v>1</v>
      </c>
      <c r="B380" s="555" t="s">
        <v>558</v>
      </c>
      <c r="C380" s="556" t="str">
        <f>IF('Weather Cases'!$E$46=0,"","DC/SC")</f>
        <v>DC/SC</v>
      </c>
      <c r="D380" s="555" t="s">
        <v>579</v>
      </c>
      <c r="E380" s="556">
        <v>1</v>
      </c>
      <c r="F380" s="556" t="s">
        <v>22</v>
      </c>
      <c r="G380" s="556" t="str">
        <f>IFERROR(IF(MID('Load Criteria'!X380,FIND("_",'Load Criteria'!X380,1)+1,1)=LEFT(Control!$D$23,1),"YES","-"),"-")</f>
        <v>-</v>
      </c>
      <c r="H380" s="549" t="str">
        <f>IF(INDEX('Weather Cases'!$G$10:$G$94,MATCH('Load Criteria'!X380,'Weather Cases'!$H$10:$H$94,0),1)="H","YES","")</f>
        <v>YES</v>
      </c>
      <c r="I380" s="557" t="s">
        <v>333</v>
      </c>
      <c r="J380" s="550">
        <f>Control!$D$25</f>
        <v>1</v>
      </c>
      <c r="K380" s="508" t="s">
        <v>571</v>
      </c>
      <c r="L380" s="508" t="s">
        <v>24</v>
      </c>
      <c r="M380" s="550">
        <v>8</v>
      </c>
      <c r="N380" s="550"/>
      <c r="O380" s="550"/>
      <c r="P380" s="392"/>
      <c r="Q380" s="392"/>
      <c r="R380" s="392"/>
      <c r="S380" s="392"/>
      <c r="T380" s="392"/>
      <c r="U380" s="255" t="s">
        <v>574</v>
      </c>
      <c r="V380" s="551"/>
      <c r="W380" s="542" t="str">
        <f t="shared" si="548"/>
        <v>RI0001_8+TA8 NA-</v>
      </c>
      <c r="X380" s="552" t="str">
        <f>I380&amp;TEXT(J380,"0000")&amp;"_"&amp;LEFT(Control!$D$22,LEN(Control!$D$22)-2)</f>
        <v>RI0001_8</v>
      </c>
      <c r="Y380" s="552" t="s">
        <v>433</v>
      </c>
      <c r="Z380" s="552" t="str">
        <f t="shared" si="529"/>
        <v>NA-</v>
      </c>
      <c r="AA380" s="552"/>
      <c r="AB380" s="552">
        <v>1</v>
      </c>
      <c r="AC380" s="552">
        <v>1</v>
      </c>
      <c r="AD380" s="552">
        <v>1</v>
      </c>
      <c r="AE380" s="552">
        <v>1</v>
      </c>
      <c r="AF380" s="552">
        <v>1</v>
      </c>
      <c r="AG380" s="542" t="s">
        <v>561</v>
      </c>
      <c r="AH380" s="552">
        <v>0</v>
      </c>
      <c r="AI380" s="552">
        <v>0</v>
      </c>
      <c r="AJ380" s="552">
        <v>1</v>
      </c>
      <c r="AK380" s="552">
        <v>1</v>
      </c>
      <c r="AL380" s="552">
        <v>1</v>
      </c>
      <c r="AM380" s="552">
        <v>0</v>
      </c>
      <c r="AN380" s="552">
        <v>0</v>
      </c>
      <c r="AO380" s="552">
        <v>1</v>
      </c>
      <c r="AP380" s="552">
        <v>1</v>
      </c>
      <c r="AQ380" s="552">
        <v>1</v>
      </c>
      <c r="AR380" s="552">
        <v>1</v>
      </c>
      <c r="AS380" s="552">
        <v>1</v>
      </c>
      <c r="AT380" s="552">
        <v>1</v>
      </c>
      <c r="AU380" s="552">
        <v>1</v>
      </c>
      <c r="AV380" s="592" t="s">
        <v>1132</v>
      </c>
      <c r="AW380" s="552" t="s">
        <v>562</v>
      </c>
      <c r="AX380" s="552"/>
      <c r="AY380" s="552" t="str">
        <f t="shared" si="527"/>
        <v>Yes</v>
      </c>
      <c r="AZ380" s="554" t="str">
        <f t="shared" si="530"/>
        <v>8:1:Ahead</v>
      </c>
      <c r="BA380" s="554" t="str">
        <f t="shared" si="531"/>
        <v>Broken Wire (# Broken Subconductors)</v>
      </c>
      <c r="BB380" s="552">
        <f t="shared" si="532"/>
        <v>4</v>
      </c>
      <c r="BC380" s="554" t="str">
        <f t="shared" si="533"/>
        <v>18:1:Ahead</v>
      </c>
      <c r="BD380" s="554" t="str">
        <f t="shared" si="534"/>
        <v>Broken Wire (# Broken Subconductors)</v>
      </c>
      <c r="BE380" s="552">
        <f t="shared" si="535"/>
        <v>4</v>
      </c>
      <c r="BF380" s="554" t="str">
        <f t="shared" si="536"/>
        <v/>
      </c>
      <c r="BG380" s="554" t="str">
        <f t="shared" si="537"/>
        <v/>
      </c>
      <c r="BH380" s="552" t="str">
        <f t="shared" si="538"/>
        <v/>
      </c>
      <c r="BI380" s="554" t="str">
        <f t="shared" si="539"/>
        <v/>
      </c>
      <c r="BJ380" s="554" t="str">
        <f t="shared" si="540"/>
        <v/>
      </c>
      <c r="BK380" s="552" t="str">
        <f t="shared" si="541"/>
        <v/>
      </c>
      <c r="BL380" s="554" t="str">
        <f t="shared" si="542"/>
        <v/>
      </c>
      <c r="BM380" s="554" t="str">
        <f t="shared" si="543"/>
        <v/>
      </c>
      <c r="BN380" s="552" t="str">
        <f t="shared" si="544"/>
        <v/>
      </c>
      <c r="BO380" s="554" t="str">
        <f t="shared" si="545"/>
        <v/>
      </c>
      <c r="BP380" s="554" t="str">
        <f t="shared" si="546"/>
        <v/>
      </c>
      <c r="BQ380" s="552" t="str">
        <f t="shared" si="547"/>
        <v/>
      </c>
      <c r="BR380" s="554"/>
      <c r="BS380" s="554"/>
      <c r="BT380" s="554"/>
      <c r="BU380" s="554"/>
      <c r="BV380" s="554"/>
      <c r="BW380" s="554"/>
      <c r="BX380" s="554"/>
      <c r="BY380" s="554"/>
      <c r="BZ380" s="554"/>
      <c r="CA380" s="554"/>
      <c r="CB380" s="554"/>
      <c r="CC380" s="554"/>
      <c r="CD380" s="554"/>
      <c r="CE380" s="554"/>
      <c r="CF380" s="554"/>
      <c r="CG380" s="554"/>
      <c r="CH380" s="554"/>
      <c r="CI380" s="554"/>
      <c r="CJ380" s="554"/>
      <c r="CK380" s="554"/>
      <c r="CL380" s="554"/>
      <c r="CM380" s="554"/>
      <c r="CN380" s="554"/>
      <c r="CO380" s="554"/>
      <c r="CP380" s="554"/>
      <c r="CQ380" s="554"/>
      <c r="CR380" s="554"/>
      <c r="CS380" s="554"/>
      <c r="CT380" s="554"/>
      <c r="CU380" s="554"/>
      <c r="CV380" s="554"/>
      <c r="CW380" s="554"/>
      <c r="CX380" s="554"/>
      <c r="CY380" s="554"/>
      <c r="CZ380" s="554"/>
      <c r="DA380" s="554"/>
      <c r="DB380" s="554"/>
      <c r="DC380" s="554"/>
      <c r="DD380" s="554"/>
      <c r="DE380" s="534"/>
      <c r="DF380" s="534"/>
      <c r="DG380" s="534"/>
    </row>
    <row r="381" spans="1:111" ht="15" x14ac:dyDescent="0.25">
      <c r="A381" s="549">
        <f>IFERROR(IF(INDEX('Weather Cases'!$E$10:$E$94,MATCH('Load Criteria'!X381,'Weather Cases'!$H$10:$H$94,0),1)=1,1,"-"),"-")</f>
        <v>1</v>
      </c>
      <c r="B381" s="555" t="s">
        <v>558</v>
      </c>
      <c r="C381" s="556" t="str">
        <f>IF('Weather Cases'!$E$46=0,"","DC/SC")</f>
        <v>DC/SC</v>
      </c>
      <c r="D381" s="555" t="s">
        <v>579</v>
      </c>
      <c r="E381" s="556">
        <v>1</v>
      </c>
      <c r="F381" s="556" t="s">
        <v>22</v>
      </c>
      <c r="G381" s="556" t="str">
        <f>IFERROR(IF(MID('Load Criteria'!X381,FIND("_",'Load Criteria'!X381,1)+1,1)=LEFT(Control!$D$23,1),"YES","-"),"-")</f>
        <v>-</v>
      </c>
      <c r="H381" s="549" t="str">
        <f>IF(INDEX('Weather Cases'!$G$10:$G$94,MATCH('Load Criteria'!X381,'Weather Cases'!$H$10:$H$94,0),1)="H","YES","")</f>
        <v>YES</v>
      </c>
      <c r="I381" s="557" t="s">
        <v>333</v>
      </c>
      <c r="J381" s="550">
        <f>Control!$D$25</f>
        <v>1</v>
      </c>
      <c r="K381" s="508" t="s">
        <v>571</v>
      </c>
      <c r="L381" s="508" t="s">
        <v>40</v>
      </c>
      <c r="M381" s="550">
        <v>8</v>
      </c>
      <c r="N381" s="550"/>
      <c r="O381" s="550"/>
      <c r="P381" s="392"/>
      <c r="Q381" s="392"/>
      <c r="R381" s="392"/>
      <c r="S381" s="392"/>
      <c r="T381" s="392"/>
      <c r="U381" s="255" t="s">
        <v>574</v>
      </c>
      <c r="V381" s="551"/>
      <c r="W381" s="542" t="str">
        <f t="shared" si="548"/>
        <v>RI0001_8+TB8 NA-</v>
      </c>
      <c r="X381" s="552" t="str">
        <f>I381&amp;TEXT(J381,"0000")&amp;"_"&amp;LEFT(Control!$D$22,LEN(Control!$D$22)-2)</f>
        <v>RI0001_8</v>
      </c>
      <c r="Y381" s="552" t="s">
        <v>433</v>
      </c>
      <c r="Z381" s="552" t="str">
        <f t="shared" si="529"/>
        <v>NA-</v>
      </c>
      <c r="AA381" s="552"/>
      <c r="AB381" s="552">
        <v>1</v>
      </c>
      <c r="AC381" s="552">
        <v>1</v>
      </c>
      <c r="AD381" s="552">
        <v>1</v>
      </c>
      <c r="AE381" s="552">
        <v>1</v>
      </c>
      <c r="AF381" s="552">
        <v>1</v>
      </c>
      <c r="AG381" s="542" t="s">
        <v>561</v>
      </c>
      <c r="AH381" s="552">
        <v>0</v>
      </c>
      <c r="AI381" s="552">
        <v>0</v>
      </c>
      <c r="AJ381" s="552">
        <v>1</v>
      </c>
      <c r="AK381" s="552">
        <v>1</v>
      </c>
      <c r="AL381" s="552">
        <v>1</v>
      </c>
      <c r="AM381" s="552">
        <v>0</v>
      </c>
      <c r="AN381" s="552">
        <v>0</v>
      </c>
      <c r="AO381" s="552">
        <v>1</v>
      </c>
      <c r="AP381" s="552">
        <v>1</v>
      </c>
      <c r="AQ381" s="552">
        <v>1</v>
      </c>
      <c r="AR381" s="552">
        <v>1</v>
      </c>
      <c r="AS381" s="552">
        <v>1</v>
      </c>
      <c r="AT381" s="552">
        <v>1</v>
      </c>
      <c r="AU381" s="552">
        <v>1</v>
      </c>
      <c r="AV381" s="592" t="s">
        <v>1132</v>
      </c>
      <c r="AW381" s="552" t="s">
        <v>562</v>
      </c>
      <c r="AX381" s="552"/>
      <c r="AY381" s="552" t="str">
        <f t="shared" si="527"/>
        <v>Yes</v>
      </c>
      <c r="AZ381" s="554" t="str">
        <f t="shared" si="530"/>
        <v>8:1:Back</v>
      </c>
      <c r="BA381" s="554" t="str">
        <f t="shared" si="531"/>
        <v>Broken Wire (# Broken Subconductors)</v>
      </c>
      <c r="BB381" s="552">
        <f t="shared" si="532"/>
        <v>4</v>
      </c>
      <c r="BC381" s="554" t="str">
        <f t="shared" si="533"/>
        <v>18:1:Back</v>
      </c>
      <c r="BD381" s="554" t="str">
        <f t="shared" si="534"/>
        <v>Broken Wire (# Broken Subconductors)</v>
      </c>
      <c r="BE381" s="552">
        <f t="shared" si="535"/>
        <v>4</v>
      </c>
      <c r="BF381" s="554" t="str">
        <f t="shared" si="536"/>
        <v/>
      </c>
      <c r="BG381" s="554" t="str">
        <f t="shared" si="537"/>
        <v/>
      </c>
      <c r="BH381" s="552" t="str">
        <f t="shared" si="538"/>
        <v/>
      </c>
      <c r="BI381" s="554" t="str">
        <f t="shared" si="539"/>
        <v/>
      </c>
      <c r="BJ381" s="554" t="str">
        <f t="shared" si="540"/>
        <v/>
      </c>
      <c r="BK381" s="552" t="str">
        <f t="shared" si="541"/>
        <v/>
      </c>
      <c r="BL381" s="554" t="str">
        <f t="shared" si="542"/>
        <v/>
      </c>
      <c r="BM381" s="554" t="str">
        <f t="shared" si="543"/>
        <v/>
      </c>
      <c r="BN381" s="552" t="str">
        <f t="shared" si="544"/>
        <v/>
      </c>
      <c r="BO381" s="554" t="str">
        <f t="shared" si="545"/>
        <v/>
      </c>
      <c r="BP381" s="554" t="str">
        <f t="shared" si="546"/>
        <v/>
      </c>
      <c r="BQ381" s="552" t="str">
        <f t="shared" si="547"/>
        <v/>
      </c>
      <c r="BR381" s="554"/>
      <c r="BS381" s="554"/>
      <c r="BT381" s="554"/>
      <c r="BU381" s="554"/>
      <c r="BV381" s="554"/>
      <c r="BW381" s="554"/>
      <c r="BX381" s="554"/>
      <c r="BY381" s="554"/>
      <c r="BZ381" s="554"/>
      <c r="CA381" s="554"/>
      <c r="CB381" s="554"/>
      <c r="CC381" s="554"/>
      <c r="CD381" s="554"/>
      <c r="CE381" s="554"/>
      <c r="CF381" s="554"/>
      <c r="CG381" s="554"/>
      <c r="CH381" s="554"/>
      <c r="CI381" s="554"/>
      <c r="CJ381" s="554"/>
      <c r="CK381" s="554"/>
      <c r="CL381" s="554"/>
      <c r="CM381" s="554"/>
      <c r="CN381" s="554"/>
      <c r="CO381" s="554"/>
      <c r="CP381" s="554"/>
      <c r="CQ381" s="554"/>
      <c r="CR381" s="554"/>
      <c r="CS381" s="554"/>
      <c r="CT381" s="554"/>
      <c r="CU381" s="554"/>
      <c r="CV381" s="554"/>
      <c r="CW381" s="554"/>
      <c r="CX381" s="554"/>
      <c r="CY381" s="554"/>
      <c r="CZ381" s="554"/>
      <c r="DA381" s="554"/>
      <c r="DB381" s="554"/>
      <c r="DC381" s="554"/>
      <c r="DD381" s="554"/>
      <c r="DE381" s="534"/>
      <c r="DF381" s="534"/>
      <c r="DG381" s="534"/>
    </row>
    <row r="382" spans="1:111" ht="15" x14ac:dyDescent="0.25">
      <c r="A382" s="549">
        <f>IFERROR(IF(INDEX('Weather Cases'!$E$10:$E$94,MATCH('Load Criteria'!X382,'Weather Cases'!$H$10:$H$94,0),1)=1,1,"-"),"-")</f>
        <v>1</v>
      </c>
      <c r="B382" s="555" t="s">
        <v>558</v>
      </c>
      <c r="C382" s="556" t="str">
        <f>IF('Weather Cases'!$E$46=0,"","DC")</f>
        <v>DC</v>
      </c>
      <c r="D382" s="555" t="s">
        <v>579</v>
      </c>
      <c r="E382" s="556">
        <v>2</v>
      </c>
      <c r="F382" s="556" t="s">
        <v>22</v>
      </c>
      <c r="G382" s="556" t="str">
        <f>IFERROR(IF(MID('Load Criteria'!X382,FIND("_",'Load Criteria'!X382,1)+1,1)=LEFT(Control!$D$23,1),"YES","-"),"-")</f>
        <v>-</v>
      </c>
      <c r="H382" s="549" t="str">
        <f>IF(INDEX('Weather Cases'!$G$10:$G$94,MATCH('Load Criteria'!X382,'Weather Cases'!$H$10:$H$94,0),1)="H","YES","")</f>
        <v>YES</v>
      </c>
      <c r="I382" s="557" t="s">
        <v>333</v>
      </c>
      <c r="J382" s="550">
        <f>Control!$D$25</f>
        <v>1</v>
      </c>
      <c r="K382" s="508" t="s">
        <v>571</v>
      </c>
      <c r="L382" s="508" t="s">
        <v>24</v>
      </c>
      <c r="M382" s="550">
        <v>1</v>
      </c>
      <c r="N382" s="550">
        <v>2</v>
      </c>
      <c r="O382" s="550"/>
      <c r="P382" s="392"/>
      <c r="Q382" s="392"/>
      <c r="R382" s="392"/>
      <c r="S382" s="392"/>
      <c r="T382" s="392"/>
      <c r="U382" s="255" t="s">
        <v>568</v>
      </c>
      <c r="V382" s="551"/>
      <c r="W382" s="542" t="str">
        <f t="shared" si="548"/>
        <v>RI0001_8+TA12 NA+</v>
      </c>
      <c r="X382" s="552" t="str">
        <f>I382&amp;TEXT(J382,"0000")&amp;"_"&amp;LEFT(Control!$D$22,LEN(Control!$D$22)-2)</f>
        <v>RI0001_8</v>
      </c>
      <c r="Y382" s="552" t="s">
        <v>433</v>
      </c>
      <c r="Z382" s="552" t="str">
        <f t="shared" si="529"/>
        <v>NA+</v>
      </c>
      <c r="AA382" s="552"/>
      <c r="AB382" s="552">
        <v>1</v>
      </c>
      <c r="AC382" s="552">
        <v>1</v>
      </c>
      <c r="AD382" s="552">
        <v>1</v>
      </c>
      <c r="AE382" s="552">
        <v>1</v>
      </c>
      <c r="AF382" s="552">
        <v>1</v>
      </c>
      <c r="AG382" s="542" t="s">
        <v>561</v>
      </c>
      <c r="AH382" s="552">
        <v>0</v>
      </c>
      <c r="AI382" s="552">
        <v>0</v>
      </c>
      <c r="AJ382" s="552">
        <v>1</v>
      </c>
      <c r="AK382" s="552">
        <v>1</v>
      </c>
      <c r="AL382" s="552">
        <v>1</v>
      </c>
      <c r="AM382" s="552">
        <v>0</v>
      </c>
      <c r="AN382" s="552">
        <v>0</v>
      </c>
      <c r="AO382" s="552">
        <v>1</v>
      </c>
      <c r="AP382" s="552">
        <v>1</v>
      </c>
      <c r="AQ382" s="552">
        <v>1</v>
      </c>
      <c r="AR382" s="552">
        <v>1</v>
      </c>
      <c r="AS382" s="552">
        <v>1</v>
      </c>
      <c r="AT382" s="552">
        <v>1</v>
      </c>
      <c r="AU382" s="552">
        <v>1</v>
      </c>
      <c r="AV382" s="553" t="str">
        <f>IF(H382="YES",IF($AV$2="Y","'"&amp;INDEX('Structure Groups'!$C$12:$C$14,MATCH($B$5,'Structure Groups'!$B$12:$B$14,0),1)&amp;"'","'"&amp;INDEX('Structure Groups'!$C$16:$C$18,MATCH($B$5,'Structure Groups'!$B$16:$B$18,0),1)&amp;"'"),IF($AV$2="Y","'All'","'Stop'"))</f>
        <v>'Stop GL Max 800m'</v>
      </c>
      <c r="AW382" s="552" t="s">
        <v>562</v>
      </c>
      <c r="AX382" s="552"/>
      <c r="AY382" s="552" t="str">
        <f t="shared" si="527"/>
        <v>Yes</v>
      </c>
      <c r="AZ382" s="554" t="str">
        <f t="shared" si="530"/>
        <v>1:1:Ahead</v>
      </c>
      <c r="BA382" s="554" t="str">
        <f t="shared" si="531"/>
        <v>Broken Wire (# Broken Subconductors)</v>
      </c>
      <c r="BB382" s="552">
        <f t="shared" si="532"/>
        <v>4</v>
      </c>
      <c r="BC382" s="554" t="str">
        <f t="shared" si="533"/>
        <v>11:1:Ahead</v>
      </c>
      <c r="BD382" s="554" t="str">
        <f t="shared" si="534"/>
        <v>Broken Wire (# Broken Subconductors)</v>
      </c>
      <c r="BE382" s="552">
        <f t="shared" si="535"/>
        <v>4</v>
      </c>
      <c r="BF382" s="554" t="str">
        <f>IF($N382="","",$N382&amp;":1:"&amp;IF($L382="A","Ahead","Back"))</f>
        <v>2:1:Ahead</v>
      </c>
      <c r="BG382" s="554" t="str">
        <f t="shared" si="537"/>
        <v>Broken Wire (# Broken Subconductors)</v>
      </c>
      <c r="BH382" s="552">
        <f t="shared" si="538"/>
        <v>4</v>
      </c>
      <c r="BI382" s="554" t="str">
        <f t="shared" si="539"/>
        <v>12:1:Ahead</v>
      </c>
      <c r="BJ382" s="554" t="str">
        <f t="shared" si="540"/>
        <v>Broken Wire (# Broken Subconductors)</v>
      </c>
      <c r="BK382" s="552">
        <f t="shared" si="541"/>
        <v>4</v>
      </c>
      <c r="BL382" s="554" t="str">
        <f t="shared" si="542"/>
        <v/>
      </c>
      <c r="BM382" s="554" t="str">
        <f t="shared" si="543"/>
        <v/>
      </c>
      <c r="BN382" s="552" t="str">
        <f t="shared" si="544"/>
        <v/>
      </c>
      <c r="BO382" s="554" t="str">
        <f t="shared" si="545"/>
        <v/>
      </c>
      <c r="BP382" s="554" t="str">
        <f t="shared" si="546"/>
        <v/>
      </c>
      <c r="BQ382" s="552" t="str">
        <f t="shared" si="547"/>
        <v/>
      </c>
      <c r="BR382" s="554"/>
      <c r="BS382" s="554"/>
      <c r="BT382" s="554"/>
      <c r="BU382" s="554"/>
      <c r="BV382" s="554"/>
      <c r="BW382" s="554"/>
      <c r="BX382" s="554"/>
      <c r="BY382" s="554"/>
      <c r="BZ382" s="554"/>
      <c r="CA382" s="554"/>
      <c r="CB382" s="554"/>
      <c r="CC382" s="554"/>
      <c r="CD382" s="554"/>
      <c r="CE382" s="554"/>
      <c r="CF382" s="554"/>
      <c r="CG382" s="554"/>
      <c r="CH382" s="554"/>
      <c r="CI382" s="554"/>
      <c r="CJ382" s="554"/>
      <c r="CK382" s="554"/>
      <c r="CL382" s="554"/>
      <c r="CM382" s="554"/>
      <c r="CN382" s="554"/>
      <c r="CO382" s="554"/>
      <c r="CP382" s="554"/>
      <c r="CQ382" s="554"/>
      <c r="CR382" s="554"/>
      <c r="CS382" s="554"/>
      <c r="CT382" s="554"/>
      <c r="CU382" s="554"/>
      <c r="CV382" s="554"/>
      <c r="CW382" s="554"/>
      <c r="CX382" s="554"/>
      <c r="CY382" s="554"/>
      <c r="CZ382" s="554"/>
      <c r="DA382" s="554"/>
      <c r="DB382" s="554"/>
      <c r="DC382" s="554"/>
      <c r="DD382" s="554"/>
      <c r="DE382" s="534"/>
      <c r="DF382" s="534"/>
      <c r="DG382" s="534"/>
    </row>
    <row r="383" spans="1:111" ht="15" x14ac:dyDescent="0.25">
      <c r="A383" s="549">
        <f>IFERROR(IF(INDEX('Weather Cases'!$E$10:$E$94,MATCH('Load Criteria'!X383,'Weather Cases'!$H$10:$H$94,0),1)=1,1,"-"),"-")</f>
        <v>1</v>
      </c>
      <c r="B383" s="555" t="s">
        <v>558</v>
      </c>
      <c r="C383" s="556" t="str">
        <f>IF('Weather Cases'!$E$46=0,"","DC")</f>
        <v>DC</v>
      </c>
      <c r="D383" s="555" t="s">
        <v>579</v>
      </c>
      <c r="E383" s="556">
        <v>2</v>
      </c>
      <c r="F383" s="556" t="s">
        <v>22</v>
      </c>
      <c r="G383" s="556" t="str">
        <f>IFERROR(IF(MID('Load Criteria'!X383,FIND("_",'Load Criteria'!X383,1)+1,1)=LEFT(Control!$D$23,1),"YES","-"),"-")</f>
        <v>-</v>
      </c>
      <c r="H383" s="549" t="str">
        <f>IF(INDEX('Weather Cases'!$G$10:$G$94,MATCH('Load Criteria'!X383,'Weather Cases'!$H$10:$H$94,0),1)="H","YES","")</f>
        <v>YES</v>
      </c>
      <c r="I383" s="557" t="s">
        <v>333</v>
      </c>
      <c r="J383" s="550">
        <f>Control!$D$25</f>
        <v>1</v>
      </c>
      <c r="K383" s="508" t="s">
        <v>571</v>
      </c>
      <c r="L383" s="508" t="s">
        <v>24</v>
      </c>
      <c r="M383" s="550">
        <v>2</v>
      </c>
      <c r="N383" s="550">
        <v>3</v>
      </c>
      <c r="O383" s="550"/>
      <c r="P383" s="392"/>
      <c r="Q383" s="392"/>
      <c r="R383" s="392"/>
      <c r="S383" s="392"/>
      <c r="T383" s="392"/>
      <c r="U383" s="255" t="s">
        <v>568</v>
      </c>
      <c r="V383" s="551"/>
      <c r="W383" s="542" t="str">
        <f t="shared" si="548"/>
        <v>RI0001_8+TA23 NA+</v>
      </c>
      <c r="X383" s="552" t="str">
        <f>I383&amp;TEXT(J383,"0000")&amp;"_"&amp;LEFT(Control!$D$22,LEN(Control!$D$22)-2)</f>
        <v>RI0001_8</v>
      </c>
      <c r="Y383" s="552" t="s">
        <v>433</v>
      </c>
      <c r="Z383" s="552" t="str">
        <f t="shared" si="529"/>
        <v>NA+</v>
      </c>
      <c r="AA383" s="552"/>
      <c r="AB383" s="552">
        <v>1</v>
      </c>
      <c r="AC383" s="552">
        <v>1</v>
      </c>
      <c r="AD383" s="552">
        <v>1</v>
      </c>
      <c r="AE383" s="552">
        <v>1</v>
      </c>
      <c r="AF383" s="552">
        <v>1</v>
      </c>
      <c r="AG383" s="542" t="s">
        <v>561</v>
      </c>
      <c r="AH383" s="552">
        <v>0</v>
      </c>
      <c r="AI383" s="552">
        <v>0</v>
      </c>
      <c r="AJ383" s="552">
        <v>1</v>
      </c>
      <c r="AK383" s="552">
        <v>1</v>
      </c>
      <c r="AL383" s="552">
        <v>1</v>
      </c>
      <c r="AM383" s="552">
        <v>0</v>
      </c>
      <c r="AN383" s="552">
        <v>0</v>
      </c>
      <c r="AO383" s="552">
        <v>1</v>
      </c>
      <c r="AP383" s="552">
        <v>1</v>
      </c>
      <c r="AQ383" s="552">
        <v>1</v>
      </c>
      <c r="AR383" s="552">
        <v>1</v>
      </c>
      <c r="AS383" s="552">
        <v>1</v>
      </c>
      <c r="AT383" s="552">
        <v>1</v>
      </c>
      <c r="AU383" s="552">
        <v>1</v>
      </c>
      <c r="AV383" s="553" t="str">
        <f>IF(H383="YES",IF($AV$2="Y","'"&amp;INDEX('Structure Groups'!$C$12:$C$14,MATCH($B$5,'Structure Groups'!$B$12:$B$14,0),1)&amp;"'","'"&amp;INDEX('Structure Groups'!$C$16:$C$18,MATCH($B$5,'Structure Groups'!$B$16:$B$18,0),1)&amp;"'"),IF($AV$2="Y","'All'","'Stop'"))</f>
        <v>'Stop GL Max 800m'</v>
      </c>
      <c r="AW383" s="552" t="s">
        <v>562</v>
      </c>
      <c r="AX383" s="552"/>
      <c r="AY383" s="552" t="str">
        <f t="shared" si="527"/>
        <v>Yes</v>
      </c>
      <c r="AZ383" s="554" t="str">
        <f t="shared" si="530"/>
        <v>2:1:Ahead</v>
      </c>
      <c r="BA383" s="554" t="str">
        <f t="shared" si="531"/>
        <v>Broken Wire (# Broken Subconductors)</v>
      </c>
      <c r="BB383" s="552">
        <f t="shared" si="532"/>
        <v>4</v>
      </c>
      <c r="BC383" s="554" t="str">
        <f t="shared" si="533"/>
        <v>12:1:Ahead</v>
      </c>
      <c r="BD383" s="554" t="str">
        <f t="shared" si="534"/>
        <v>Broken Wire (# Broken Subconductors)</v>
      </c>
      <c r="BE383" s="552">
        <f t="shared" si="535"/>
        <v>4</v>
      </c>
      <c r="BF383" s="554" t="str">
        <f t="shared" ref="BF383:BF413" si="549">IF($N383="","",$N383&amp;":1:"&amp;IF($L383="A","Ahead","Back"))</f>
        <v>3:1:Ahead</v>
      </c>
      <c r="BG383" s="554" t="str">
        <f t="shared" si="537"/>
        <v>Broken Wire (# Broken Subconductors)</v>
      </c>
      <c r="BH383" s="552">
        <f t="shared" si="538"/>
        <v>4</v>
      </c>
      <c r="BI383" s="554" t="str">
        <f t="shared" si="539"/>
        <v>13:1:Ahead</v>
      </c>
      <c r="BJ383" s="554" t="str">
        <f t="shared" si="540"/>
        <v>Broken Wire (# Broken Subconductors)</v>
      </c>
      <c r="BK383" s="552">
        <f t="shared" si="541"/>
        <v>4</v>
      </c>
      <c r="BL383" s="554" t="str">
        <f t="shared" si="542"/>
        <v/>
      </c>
      <c r="BM383" s="554" t="str">
        <f t="shared" si="543"/>
        <v/>
      </c>
      <c r="BN383" s="552" t="str">
        <f t="shared" si="544"/>
        <v/>
      </c>
      <c r="BO383" s="554" t="str">
        <f t="shared" si="545"/>
        <v/>
      </c>
      <c r="BP383" s="554" t="str">
        <f t="shared" si="546"/>
        <v/>
      </c>
      <c r="BQ383" s="552" t="str">
        <f t="shared" si="547"/>
        <v/>
      </c>
      <c r="BR383" s="554"/>
      <c r="BS383" s="554"/>
      <c r="BT383" s="554"/>
      <c r="BU383" s="554"/>
      <c r="BV383" s="554"/>
      <c r="BW383" s="554"/>
      <c r="BX383" s="554"/>
      <c r="BY383" s="554"/>
      <c r="BZ383" s="554"/>
      <c r="CA383" s="554"/>
      <c r="CB383" s="554"/>
      <c r="CC383" s="554"/>
      <c r="CD383" s="554"/>
      <c r="CE383" s="554"/>
      <c r="CF383" s="554"/>
      <c r="CG383" s="554"/>
      <c r="CH383" s="554"/>
      <c r="CI383" s="554"/>
      <c r="CJ383" s="554"/>
      <c r="CK383" s="554"/>
      <c r="CL383" s="554"/>
      <c r="CM383" s="554"/>
      <c r="CN383" s="554"/>
      <c r="CO383" s="554"/>
      <c r="CP383" s="554"/>
      <c r="CQ383" s="554"/>
      <c r="CR383" s="554"/>
      <c r="CS383" s="554"/>
      <c r="CT383" s="554"/>
      <c r="CU383" s="554"/>
      <c r="CV383" s="554"/>
      <c r="CW383" s="554"/>
      <c r="CX383" s="554"/>
      <c r="CY383" s="554"/>
      <c r="CZ383" s="554"/>
      <c r="DA383" s="554"/>
      <c r="DB383" s="554"/>
      <c r="DC383" s="554"/>
      <c r="DD383" s="554"/>
      <c r="DE383" s="534"/>
      <c r="DF383" s="534"/>
      <c r="DG383" s="534"/>
    </row>
    <row r="384" spans="1:111" ht="15" x14ac:dyDescent="0.25">
      <c r="A384" s="549">
        <f>IFERROR(IF(INDEX('Weather Cases'!$E$10:$E$94,MATCH('Load Criteria'!X384,'Weather Cases'!$H$10:$H$94,0),1)=1,1,"-"),"-")</f>
        <v>1</v>
      </c>
      <c r="B384" s="555" t="s">
        <v>558</v>
      </c>
      <c r="C384" s="556" t="str">
        <f>IF('Weather Cases'!$E$46=0,"","DC")</f>
        <v>DC</v>
      </c>
      <c r="D384" s="555" t="s">
        <v>579</v>
      </c>
      <c r="E384" s="556">
        <v>2</v>
      </c>
      <c r="F384" s="556" t="s">
        <v>22</v>
      </c>
      <c r="G384" s="556" t="str">
        <f>IFERROR(IF(MID('Load Criteria'!X384,FIND("_",'Load Criteria'!X384,1)+1,1)=LEFT(Control!$D$23,1),"YES","-"),"-")</f>
        <v>-</v>
      </c>
      <c r="H384" s="549" t="str">
        <f>IF(INDEX('Weather Cases'!$G$10:$G$94,MATCH('Load Criteria'!X384,'Weather Cases'!$H$10:$H$94,0),1)="H","YES","")</f>
        <v>YES</v>
      </c>
      <c r="I384" s="557" t="s">
        <v>333</v>
      </c>
      <c r="J384" s="550">
        <f>Control!$D$25</f>
        <v>1</v>
      </c>
      <c r="K384" s="508" t="s">
        <v>571</v>
      </c>
      <c r="L384" s="508" t="s">
        <v>24</v>
      </c>
      <c r="M384" s="550">
        <v>1</v>
      </c>
      <c r="N384" s="550">
        <v>3</v>
      </c>
      <c r="O384" s="550"/>
      <c r="P384" s="392"/>
      <c r="Q384" s="392"/>
      <c r="R384" s="392"/>
      <c r="S384" s="392"/>
      <c r="T384" s="392"/>
      <c r="U384" s="255" t="s">
        <v>568</v>
      </c>
      <c r="V384" s="551"/>
      <c r="W384" s="542" t="str">
        <f t="shared" si="548"/>
        <v>RI0001_8+TA13 NA+</v>
      </c>
      <c r="X384" s="552" t="str">
        <f>I384&amp;TEXT(J384,"0000")&amp;"_"&amp;LEFT(Control!$D$22,LEN(Control!$D$22)-2)</f>
        <v>RI0001_8</v>
      </c>
      <c r="Y384" s="552" t="s">
        <v>433</v>
      </c>
      <c r="Z384" s="552" t="str">
        <f t="shared" si="529"/>
        <v>NA+</v>
      </c>
      <c r="AA384" s="552"/>
      <c r="AB384" s="552">
        <v>1</v>
      </c>
      <c r="AC384" s="552">
        <v>1</v>
      </c>
      <c r="AD384" s="552">
        <v>1</v>
      </c>
      <c r="AE384" s="552">
        <v>1</v>
      </c>
      <c r="AF384" s="552">
        <v>1</v>
      </c>
      <c r="AG384" s="542" t="s">
        <v>561</v>
      </c>
      <c r="AH384" s="552">
        <v>0</v>
      </c>
      <c r="AI384" s="552">
        <v>0</v>
      </c>
      <c r="AJ384" s="552">
        <v>1</v>
      </c>
      <c r="AK384" s="552">
        <v>1</v>
      </c>
      <c r="AL384" s="552">
        <v>1</v>
      </c>
      <c r="AM384" s="552">
        <v>0</v>
      </c>
      <c r="AN384" s="552">
        <v>0</v>
      </c>
      <c r="AO384" s="552">
        <v>1</v>
      </c>
      <c r="AP384" s="552">
        <v>1</v>
      </c>
      <c r="AQ384" s="552">
        <v>1</v>
      </c>
      <c r="AR384" s="552">
        <v>1</v>
      </c>
      <c r="AS384" s="552">
        <v>1</v>
      </c>
      <c r="AT384" s="552">
        <v>1</v>
      </c>
      <c r="AU384" s="552">
        <v>1</v>
      </c>
      <c r="AV384" s="553" t="str">
        <f>IF(H384="YES",IF($AV$2="Y","'"&amp;INDEX('Structure Groups'!$C$12:$C$14,MATCH($B$5,'Structure Groups'!$B$12:$B$14,0),1)&amp;"'","'"&amp;INDEX('Structure Groups'!$C$16:$C$18,MATCH($B$5,'Structure Groups'!$B$16:$B$18,0),1)&amp;"'"),IF($AV$2="Y","'All'","'Stop'"))</f>
        <v>'Stop GL Max 800m'</v>
      </c>
      <c r="AW384" s="552" t="s">
        <v>562</v>
      </c>
      <c r="AX384" s="552"/>
      <c r="AY384" s="552" t="str">
        <f t="shared" si="527"/>
        <v>Yes</v>
      </c>
      <c r="AZ384" s="554" t="str">
        <f t="shared" si="530"/>
        <v>1:1:Ahead</v>
      </c>
      <c r="BA384" s="554" t="str">
        <f t="shared" si="531"/>
        <v>Broken Wire (# Broken Subconductors)</v>
      </c>
      <c r="BB384" s="552">
        <f t="shared" si="532"/>
        <v>4</v>
      </c>
      <c r="BC384" s="554" t="str">
        <f t="shared" si="533"/>
        <v>11:1:Ahead</v>
      </c>
      <c r="BD384" s="554" t="str">
        <f t="shared" si="534"/>
        <v>Broken Wire (# Broken Subconductors)</v>
      </c>
      <c r="BE384" s="552">
        <f t="shared" si="535"/>
        <v>4</v>
      </c>
      <c r="BF384" s="554" t="str">
        <f t="shared" si="549"/>
        <v>3:1:Ahead</v>
      </c>
      <c r="BG384" s="554" t="str">
        <f t="shared" si="537"/>
        <v>Broken Wire (# Broken Subconductors)</v>
      </c>
      <c r="BH384" s="552">
        <f t="shared" si="538"/>
        <v>4</v>
      </c>
      <c r="BI384" s="554" t="str">
        <f t="shared" si="539"/>
        <v>13:1:Ahead</v>
      </c>
      <c r="BJ384" s="554" t="str">
        <f t="shared" si="540"/>
        <v>Broken Wire (# Broken Subconductors)</v>
      </c>
      <c r="BK384" s="552">
        <f t="shared" si="541"/>
        <v>4</v>
      </c>
      <c r="BL384" s="554" t="str">
        <f t="shared" si="542"/>
        <v/>
      </c>
      <c r="BM384" s="554" t="str">
        <f t="shared" si="543"/>
        <v/>
      </c>
      <c r="BN384" s="552" t="str">
        <f t="shared" si="544"/>
        <v/>
      </c>
      <c r="BO384" s="554" t="str">
        <f t="shared" si="545"/>
        <v/>
      </c>
      <c r="BP384" s="554" t="str">
        <f t="shared" si="546"/>
        <v/>
      </c>
      <c r="BQ384" s="552" t="str">
        <f t="shared" si="547"/>
        <v/>
      </c>
      <c r="BR384" s="554"/>
      <c r="BS384" s="554"/>
      <c r="BT384" s="554"/>
      <c r="BU384" s="554"/>
      <c r="BV384" s="554"/>
      <c r="BW384" s="554"/>
      <c r="BX384" s="554"/>
      <c r="BY384" s="554"/>
      <c r="BZ384" s="554"/>
      <c r="CA384" s="554"/>
      <c r="CB384" s="554"/>
      <c r="CC384" s="554"/>
      <c r="CD384" s="554"/>
      <c r="CE384" s="554"/>
      <c r="CF384" s="554"/>
      <c r="CG384" s="554"/>
      <c r="CH384" s="554"/>
      <c r="CI384" s="554"/>
      <c r="CJ384" s="554"/>
      <c r="CK384" s="554"/>
      <c r="CL384" s="554"/>
      <c r="CM384" s="554"/>
      <c r="CN384" s="554"/>
      <c r="CO384" s="554"/>
      <c r="CP384" s="554"/>
      <c r="CQ384" s="554"/>
      <c r="CR384" s="554"/>
      <c r="CS384" s="554"/>
      <c r="CT384" s="554"/>
      <c r="CU384" s="554"/>
      <c r="CV384" s="554"/>
      <c r="CW384" s="554"/>
      <c r="CX384" s="554"/>
      <c r="CY384" s="554"/>
      <c r="CZ384" s="554"/>
      <c r="DA384" s="554"/>
      <c r="DB384" s="554"/>
      <c r="DC384" s="554"/>
      <c r="DD384" s="554"/>
      <c r="DE384" s="534"/>
      <c r="DF384" s="534"/>
      <c r="DG384" s="534"/>
    </row>
    <row r="385" spans="1:111" ht="15" x14ac:dyDescent="0.25">
      <c r="A385" s="549">
        <f>IFERROR(IF(INDEX('Weather Cases'!$E$10:$E$94,MATCH('Load Criteria'!X385,'Weather Cases'!$H$10:$H$94,0),1)=1,1,"-"),"-")</f>
        <v>1</v>
      </c>
      <c r="B385" s="555" t="s">
        <v>558</v>
      </c>
      <c r="C385" s="556" t="str">
        <f>IF('Weather Cases'!$E$46=0,"","DC")</f>
        <v>DC</v>
      </c>
      <c r="D385" s="555" t="s">
        <v>579</v>
      </c>
      <c r="E385" s="556">
        <v>2</v>
      </c>
      <c r="F385" s="555" t="s">
        <v>580</v>
      </c>
      <c r="G385" s="556" t="str">
        <f>IFERROR(IF(MID('Load Criteria'!X385,FIND("_",'Load Criteria'!X385,1)+1,1)=LEFT(Control!$D$23,1),"YES","-"),"-")</f>
        <v>-</v>
      </c>
      <c r="H385" s="549" t="str">
        <f>IF(INDEX('Weather Cases'!$G$10:$G$94,MATCH('Load Criteria'!X385,'Weather Cases'!$H$10:$H$94,0),1)="H","YES","")</f>
        <v>YES</v>
      </c>
      <c r="I385" s="557" t="s">
        <v>333</v>
      </c>
      <c r="J385" s="550">
        <f>Control!$D$25</f>
        <v>1</v>
      </c>
      <c r="K385" s="508" t="s">
        <v>571</v>
      </c>
      <c r="L385" s="508" t="s">
        <v>24</v>
      </c>
      <c r="M385" s="550">
        <v>3</v>
      </c>
      <c r="N385" s="550">
        <v>7</v>
      </c>
      <c r="O385" s="550"/>
      <c r="P385" s="392"/>
      <c r="Q385" s="392"/>
      <c r="R385" s="392"/>
      <c r="S385" s="392"/>
      <c r="T385" s="392"/>
      <c r="U385" s="255" t="s">
        <v>568</v>
      </c>
      <c r="V385" s="551"/>
      <c r="W385" s="542" t="str">
        <f t="shared" si="548"/>
        <v>RI0001_8+TA37 NA+</v>
      </c>
      <c r="X385" s="552" t="str">
        <f>I385&amp;TEXT(J385,"0000")&amp;"_"&amp;LEFT(Control!$D$22,LEN(Control!$D$22)-2)</f>
        <v>RI0001_8</v>
      </c>
      <c r="Y385" s="552" t="s">
        <v>433</v>
      </c>
      <c r="Z385" s="552" t="str">
        <f t="shared" si="529"/>
        <v>NA+</v>
      </c>
      <c r="AA385" s="552"/>
      <c r="AB385" s="552">
        <v>1</v>
      </c>
      <c r="AC385" s="552">
        <v>1</v>
      </c>
      <c r="AD385" s="552">
        <v>1</v>
      </c>
      <c r="AE385" s="552">
        <v>1</v>
      </c>
      <c r="AF385" s="552">
        <v>1</v>
      </c>
      <c r="AG385" s="542" t="s">
        <v>561</v>
      </c>
      <c r="AH385" s="552">
        <v>0</v>
      </c>
      <c r="AI385" s="552">
        <v>0</v>
      </c>
      <c r="AJ385" s="552">
        <v>1</v>
      </c>
      <c r="AK385" s="552">
        <v>1</v>
      </c>
      <c r="AL385" s="552">
        <v>1</v>
      </c>
      <c r="AM385" s="552">
        <v>0</v>
      </c>
      <c r="AN385" s="552">
        <v>0</v>
      </c>
      <c r="AO385" s="552">
        <v>1</v>
      </c>
      <c r="AP385" s="552">
        <v>1</v>
      </c>
      <c r="AQ385" s="552">
        <v>1</v>
      </c>
      <c r="AR385" s="552">
        <v>1</v>
      </c>
      <c r="AS385" s="552">
        <v>1</v>
      </c>
      <c r="AT385" s="552">
        <v>1</v>
      </c>
      <c r="AU385" s="552">
        <v>1</v>
      </c>
      <c r="AV385" s="553" t="str">
        <f>IF(H385="YES",IF($AV$2="Y","'"&amp;INDEX('Structure Groups'!$C$12:$C$14,MATCH($B$5,'Structure Groups'!$B$12:$B$14,0),1)&amp;"'","'"&amp;INDEX('Structure Groups'!$C$16:$C$18,MATCH($B$5,'Structure Groups'!$B$16:$B$18,0),1)&amp;"'"),IF($AV$2="Y","'All'","'Stop'"))</f>
        <v>'Stop GL Max 800m'</v>
      </c>
      <c r="AW385" s="552" t="s">
        <v>562</v>
      </c>
      <c r="AX385" s="552"/>
      <c r="AY385" s="552" t="str">
        <f t="shared" si="527"/>
        <v>Yes</v>
      </c>
      <c r="AZ385" s="554" t="str">
        <f t="shared" si="530"/>
        <v>3:1:Ahead</v>
      </c>
      <c r="BA385" s="554" t="str">
        <f t="shared" si="531"/>
        <v>Broken Wire (# Broken Subconductors)</v>
      </c>
      <c r="BB385" s="552">
        <f t="shared" si="532"/>
        <v>4</v>
      </c>
      <c r="BC385" s="554" t="str">
        <f t="shared" si="533"/>
        <v>13:1:Ahead</v>
      </c>
      <c r="BD385" s="554" t="str">
        <f t="shared" si="534"/>
        <v>Broken Wire (# Broken Subconductors)</v>
      </c>
      <c r="BE385" s="552">
        <f t="shared" si="535"/>
        <v>4</v>
      </c>
      <c r="BF385" s="554" t="str">
        <f t="shared" si="549"/>
        <v>7:1:Ahead</v>
      </c>
      <c r="BG385" s="554" t="str">
        <f t="shared" si="537"/>
        <v>Broken Wire (# Broken Subconductors)</v>
      </c>
      <c r="BH385" s="552">
        <f t="shared" si="538"/>
        <v>4</v>
      </c>
      <c r="BI385" s="554" t="str">
        <f t="shared" si="539"/>
        <v>17:1:Ahead</v>
      </c>
      <c r="BJ385" s="554" t="str">
        <f t="shared" si="540"/>
        <v>Broken Wire (# Broken Subconductors)</v>
      </c>
      <c r="BK385" s="552">
        <f t="shared" si="541"/>
        <v>4</v>
      </c>
      <c r="BL385" s="554" t="str">
        <f t="shared" si="542"/>
        <v/>
      </c>
      <c r="BM385" s="554" t="str">
        <f t="shared" si="543"/>
        <v/>
      </c>
      <c r="BN385" s="552" t="str">
        <f t="shared" si="544"/>
        <v/>
      </c>
      <c r="BO385" s="554" t="str">
        <f t="shared" si="545"/>
        <v/>
      </c>
      <c r="BP385" s="554" t="str">
        <f t="shared" si="546"/>
        <v/>
      </c>
      <c r="BQ385" s="552" t="str">
        <f t="shared" si="547"/>
        <v/>
      </c>
      <c r="BR385" s="554"/>
      <c r="BS385" s="554"/>
      <c r="BT385" s="554"/>
      <c r="BU385" s="554"/>
      <c r="BV385" s="554"/>
      <c r="BW385" s="554"/>
      <c r="BX385" s="554"/>
      <c r="BY385" s="554"/>
      <c r="BZ385" s="554"/>
      <c r="CA385" s="554"/>
      <c r="CB385" s="554"/>
      <c r="CC385" s="554"/>
      <c r="CD385" s="554"/>
      <c r="CE385" s="554"/>
      <c r="CF385" s="554"/>
      <c r="CG385" s="554"/>
      <c r="CH385" s="554"/>
      <c r="CI385" s="554"/>
      <c r="CJ385" s="554"/>
      <c r="CK385" s="554"/>
      <c r="CL385" s="554"/>
      <c r="CM385" s="554"/>
      <c r="CN385" s="554"/>
      <c r="CO385" s="554"/>
      <c r="CP385" s="554"/>
      <c r="CQ385" s="554"/>
      <c r="CR385" s="554"/>
      <c r="CS385" s="554"/>
      <c r="CT385" s="554"/>
      <c r="CU385" s="554"/>
      <c r="CV385" s="554"/>
      <c r="CW385" s="554"/>
      <c r="CX385" s="554"/>
      <c r="CY385" s="554"/>
      <c r="CZ385" s="554"/>
      <c r="DA385" s="554"/>
      <c r="DB385" s="554"/>
      <c r="DC385" s="554"/>
      <c r="DD385" s="554"/>
      <c r="DE385" s="534"/>
      <c r="DF385" s="534"/>
      <c r="DG385" s="534"/>
    </row>
    <row r="386" spans="1:111" ht="15" x14ac:dyDescent="0.25">
      <c r="A386" s="549">
        <f>IFERROR(IF(INDEX('Weather Cases'!$E$10:$E$94,MATCH('Load Criteria'!X386,'Weather Cases'!$H$10:$H$94,0),1)=1,1,"-"),"-")</f>
        <v>1</v>
      </c>
      <c r="B386" s="555" t="s">
        <v>558</v>
      </c>
      <c r="C386" s="556" t="str">
        <f>IF('Weather Cases'!$E$46=0,"","DC")</f>
        <v>DC</v>
      </c>
      <c r="D386" s="555" t="s">
        <v>579</v>
      </c>
      <c r="E386" s="556">
        <v>2</v>
      </c>
      <c r="F386" s="556" t="s">
        <v>22</v>
      </c>
      <c r="G386" s="556" t="str">
        <f>IFERROR(IF(MID('Load Criteria'!X386,FIND("_",'Load Criteria'!X386,1)+1,1)=LEFT(Control!$D$23,1),"YES","-"),"-")</f>
        <v>-</v>
      </c>
      <c r="H386" s="549" t="str">
        <f>IF(INDEX('Weather Cases'!$G$10:$G$94,MATCH('Load Criteria'!X386,'Weather Cases'!$H$10:$H$94,0),1)="H","YES","")</f>
        <v>YES</v>
      </c>
      <c r="I386" s="557" t="s">
        <v>333</v>
      </c>
      <c r="J386" s="550">
        <f>Control!$D$25</f>
        <v>1</v>
      </c>
      <c r="K386" s="508" t="s">
        <v>571</v>
      </c>
      <c r="L386" s="508" t="s">
        <v>24</v>
      </c>
      <c r="M386" s="550">
        <v>4</v>
      </c>
      <c r="N386" s="550">
        <v>5</v>
      </c>
      <c r="O386" s="550"/>
      <c r="P386" s="392"/>
      <c r="Q386" s="392"/>
      <c r="R386" s="392"/>
      <c r="S386" s="392"/>
      <c r="T386" s="392"/>
      <c r="U386" s="255" t="s">
        <v>568</v>
      </c>
      <c r="V386" s="551"/>
      <c r="W386" s="542" t="str">
        <f t="shared" si="548"/>
        <v>RI0001_8+TA45 NA+</v>
      </c>
      <c r="X386" s="552" t="str">
        <f>I386&amp;TEXT(J386,"0000")&amp;"_"&amp;LEFT(Control!$D$22,LEN(Control!$D$22)-2)</f>
        <v>RI0001_8</v>
      </c>
      <c r="Y386" s="552" t="s">
        <v>433</v>
      </c>
      <c r="Z386" s="552" t="str">
        <f t="shared" si="529"/>
        <v>NA+</v>
      </c>
      <c r="AA386" s="552"/>
      <c r="AB386" s="552">
        <v>1</v>
      </c>
      <c r="AC386" s="552">
        <v>1</v>
      </c>
      <c r="AD386" s="552">
        <v>1</v>
      </c>
      <c r="AE386" s="552">
        <v>1</v>
      </c>
      <c r="AF386" s="552">
        <v>1</v>
      </c>
      <c r="AG386" s="542" t="s">
        <v>561</v>
      </c>
      <c r="AH386" s="552">
        <v>0</v>
      </c>
      <c r="AI386" s="552">
        <v>0</v>
      </c>
      <c r="AJ386" s="552">
        <v>1</v>
      </c>
      <c r="AK386" s="552">
        <v>1</v>
      </c>
      <c r="AL386" s="552">
        <v>1</v>
      </c>
      <c r="AM386" s="552">
        <v>0</v>
      </c>
      <c r="AN386" s="552">
        <v>0</v>
      </c>
      <c r="AO386" s="552">
        <v>1</v>
      </c>
      <c r="AP386" s="552">
        <v>1</v>
      </c>
      <c r="AQ386" s="552">
        <v>1</v>
      </c>
      <c r="AR386" s="552">
        <v>1</v>
      </c>
      <c r="AS386" s="552">
        <v>1</v>
      </c>
      <c r="AT386" s="552">
        <v>1</v>
      </c>
      <c r="AU386" s="552">
        <v>1</v>
      </c>
      <c r="AV386" s="553" t="str">
        <f>IF(H386="YES",IF($AV$2="Y","'"&amp;INDEX('Structure Groups'!$C$12:$C$14,MATCH($B$5,'Structure Groups'!$B$12:$B$14,0),1)&amp;"'","'"&amp;INDEX('Structure Groups'!$C$16:$C$18,MATCH($B$5,'Structure Groups'!$B$16:$B$18,0),1)&amp;"'"),IF($AV$2="Y","'All'","'Stop'"))</f>
        <v>'Stop GL Max 800m'</v>
      </c>
      <c r="AW386" s="552" t="s">
        <v>562</v>
      </c>
      <c r="AX386" s="552"/>
      <c r="AY386" s="552" t="str">
        <f t="shared" si="527"/>
        <v>Yes</v>
      </c>
      <c r="AZ386" s="554" t="str">
        <f t="shared" si="530"/>
        <v>4:1:Ahead</v>
      </c>
      <c r="BA386" s="554" t="str">
        <f t="shared" si="531"/>
        <v>Broken Wire (# Broken Subconductors)</v>
      </c>
      <c r="BB386" s="552">
        <f t="shared" si="532"/>
        <v>4</v>
      </c>
      <c r="BC386" s="554" t="str">
        <f t="shared" si="533"/>
        <v>14:1:Ahead</v>
      </c>
      <c r="BD386" s="554" t="str">
        <f t="shared" si="534"/>
        <v>Broken Wire (# Broken Subconductors)</v>
      </c>
      <c r="BE386" s="552">
        <f t="shared" si="535"/>
        <v>4</v>
      </c>
      <c r="BF386" s="554" t="str">
        <f t="shared" si="549"/>
        <v>5:1:Ahead</v>
      </c>
      <c r="BG386" s="554" t="str">
        <f t="shared" si="537"/>
        <v>Broken Wire (# Broken Subconductors)</v>
      </c>
      <c r="BH386" s="552">
        <f t="shared" si="538"/>
        <v>4</v>
      </c>
      <c r="BI386" s="554" t="str">
        <f t="shared" si="539"/>
        <v>15:1:Ahead</v>
      </c>
      <c r="BJ386" s="554" t="str">
        <f t="shared" si="540"/>
        <v>Broken Wire (# Broken Subconductors)</v>
      </c>
      <c r="BK386" s="552">
        <f t="shared" si="541"/>
        <v>4</v>
      </c>
      <c r="BL386" s="554" t="str">
        <f t="shared" si="542"/>
        <v/>
      </c>
      <c r="BM386" s="554" t="str">
        <f t="shared" si="543"/>
        <v/>
      </c>
      <c r="BN386" s="552" t="str">
        <f t="shared" si="544"/>
        <v/>
      </c>
      <c r="BO386" s="554" t="str">
        <f t="shared" si="545"/>
        <v/>
      </c>
      <c r="BP386" s="554" t="str">
        <f t="shared" si="546"/>
        <v/>
      </c>
      <c r="BQ386" s="552" t="str">
        <f t="shared" si="547"/>
        <v/>
      </c>
      <c r="BR386" s="554"/>
      <c r="BS386" s="554"/>
      <c r="BT386" s="554"/>
      <c r="BU386" s="554"/>
      <c r="BV386" s="554"/>
      <c r="BW386" s="554"/>
      <c r="BX386" s="554"/>
      <c r="BY386" s="554"/>
      <c r="BZ386" s="554"/>
      <c r="CA386" s="554"/>
      <c r="CB386" s="554"/>
      <c r="CC386" s="554"/>
      <c r="CD386" s="554"/>
      <c r="CE386" s="554"/>
      <c r="CF386" s="554"/>
      <c r="CG386" s="554"/>
      <c r="CH386" s="554"/>
      <c r="CI386" s="554"/>
      <c r="CJ386" s="554"/>
      <c r="CK386" s="554"/>
      <c r="CL386" s="554"/>
      <c r="CM386" s="554"/>
      <c r="CN386" s="554"/>
      <c r="CO386" s="554"/>
      <c r="CP386" s="554"/>
      <c r="CQ386" s="554"/>
      <c r="CR386" s="554"/>
      <c r="CS386" s="554"/>
      <c r="CT386" s="554"/>
      <c r="CU386" s="554"/>
      <c r="CV386" s="554"/>
      <c r="CW386" s="554"/>
      <c r="CX386" s="554"/>
      <c r="CY386" s="554"/>
      <c r="CZ386" s="554"/>
      <c r="DA386" s="554"/>
      <c r="DB386" s="554"/>
      <c r="DC386" s="554"/>
      <c r="DD386" s="554"/>
      <c r="DE386" s="534"/>
      <c r="DF386" s="534"/>
      <c r="DG386" s="534"/>
    </row>
    <row r="387" spans="1:111" ht="15" x14ac:dyDescent="0.25">
      <c r="A387" s="549">
        <f>IFERROR(IF(INDEX('Weather Cases'!$E$10:$E$94,MATCH('Load Criteria'!X387,'Weather Cases'!$H$10:$H$94,0),1)=1,1,"-"),"-")</f>
        <v>1</v>
      </c>
      <c r="B387" s="555" t="s">
        <v>558</v>
      </c>
      <c r="C387" s="556" t="str">
        <f>IF('Weather Cases'!$E$46=0,"","DC")</f>
        <v>DC</v>
      </c>
      <c r="D387" s="555" t="s">
        <v>579</v>
      </c>
      <c r="E387" s="556">
        <v>2</v>
      </c>
      <c r="F387" s="556" t="s">
        <v>22</v>
      </c>
      <c r="G387" s="556" t="str">
        <f>IFERROR(IF(MID('Load Criteria'!X387,FIND("_",'Load Criteria'!X387,1)+1,1)=LEFT(Control!$D$23,1),"YES","-"),"-")</f>
        <v>-</v>
      </c>
      <c r="H387" s="549" t="str">
        <f>IF(INDEX('Weather Cases'!$G$10:$G$94,MATCH('Load Criteria'!X387,'Weather Cases'!$H$10:$H$94,0),1)="H","YES","")</f>
        <v>YES</v>
      </c>
      <c r="I387" s="557" t="s">
        <v>333</v>
      </c>
      <c r="J387" s="550">
        <f>Control!$D$25</f>
        <v>1</v>
      </c>
      <c r="K387" s="508" t="s">
        <v>571</v>
      </c>
      <c r="L387" s="508" t="s">
        <v>24</v>
      </c>
      <c r="M387" s="550">
        <v>4</v>
      </c>
      <c r="N387" s="550">
        <v>6</v>
      </c>
      <c r="O387" s="550"/>
      <c r="P387" s="392"/>
      <c r="Q387" s="392"/>
      <c r="R387" s="392"/>
      <c r="S387" s="392"/>
      <c r="T387" s="392"/>
      <c r="U387" s="255" t="s">
        <v>568</v>
      </c>
      <c r="V387" s="551"/>
      <c r="W387" s="542" t="str">
        <f t="shared" si="548"/>
        <v>RI0001_8+TA46 NA+</v>
      </c>
      <c r="X387" s="552" t="str">
        <f>I387&amp;TEXT(J387,"0000")&amp;"_"&amp;LEFT(Control!$D$22,LEN(Control!$D$22)-2)</f>
        <v>RI0001_8</v>
      </c>
      <c r="Y387" s="552" t="s">
        <v>433</v>
      </c>
      <c r="Z387" s="552" t="str">
        <f t="shared" si="529"/>
        <v>NA+</v>
      </c>
      <c r="AA387" s="552"/>
      <c r="AB387" s="552">
        <v>1</v>
      </c>
      <c r="AC387" s="552">
        <v>1</v>
      </c>
      <c r="AD387" s="552">
        <v>1</v>
      </c>
      <c r="AE387" s="552">
        <v>1</v>
      </c>
      <c r="AF387" s="552">
        <v>1</v>
      </c>
      <c r="AG387" s="542" t="s">
        <v>561</v>
      </c>
      <c r="AH387" s="552">
        <v>0</v>
      </c>
      <c r="AI387" s="552">
        <v>0</v>
      </c>
      <c r="AJ387" s="552">
        <v>1</v>
      </c>
      <c r="AK387" s="552">
        <v>1</v>
      </c>
      <c r="AL387" s="552">
        <v>1</v>
      </c>
      <c r="AM387" s="552">
        <v>0</v>
      </c>
      <c r="AN387" s="552">
        <v>0</v>
      </c>
      <c r="AO387" s="552">
        <v>1</v>
      </c>
      <c r="AP387" s="552">
        <v>1</v>
      </c>
      <c r="AQ387" s="552">
        <v>1</v>
      </c>
      <c r="AR387" s="552">
        <v>1</v>
      </c>
      <c r="AS387" s="552">
        <v>1</v>
      </c>
      <c r="AT387" s="552">
        <v>1</v>
      </c>
      <c r="AU387" s="552">
        <v>1</v>
      </c>
      <c r="AV387" s="553" t="str">
        <f>IF(H387="YES",IF($AV$2="Y","'"&amp;INDEX('Structure Groups'!$C$12:$C$14,MATCH($B$5,'Structure Groups'!$B$12:$B$14,0),1)&amp;"'","'"&amp;INDEX('Structure Groups'!$C$16:$C$18,MATCH($B$5,'Structure Groups'!$B$16:$B$18,0),1)&amp;"'"),IF($AV$2="Y","'All'","'Stop'"))</f>
        <v>'Stop GL Max 800m'</v>
      </c>
      <c r="AW387" s="552" t="s">
        <v>562</v>
      </c>
      <c r="AX387" s="552"/>
      <c r="AY387" s="552" t="str">
        <f t="shared" si="527"/>
        <v>Yes</v>
      </c>
      <c r="AZ387" s="554" t="str">
        <f t="shared" si="530"/>
        <v>4:1:Ahead</v>
      </c>
      <c r="BA387" s="554" t="str">
        <f t="shared" si="531"/>
        <v>Broken Wire (# Broken Subconductors)</v>
      </c>
      <c r="BB387" s="552">
        <f t="shared" si="532"/>
        <v>4</v>
      </c>
      <c r="BC387" s="554" t="str">
        <f t="shared" si="533"/>
        <v>14:1:Ahead</v>
      </c>
      <c r="BD387" s="554" t="str">
        <f t="shared" si="534"/>
        <v>Broken Wire (# Broken Subconductors)</v>
      </c>
      <c r="BE387" s="552">
        <f t="shared" si="535"/>
        <v>4</v>
      </c>
      <c r="BF387" s="554" t="str">
        <f t="shared" si="549"/>
        <v>6:1:Ahead</v>
      </c>
      <c r="BG387" s="554" t="str">
        <f t="shared" si="537"/>
        <v>Broken Wire (# Broken Subconductors)</v>
      </c>
      <c r="BH387" s="552">
        <f t="shared" si="538"/>
        <v>4</v>
      </c>
      <c r="BI387" s="554" t="str">
        <f t="shared" si="539"/>
        <v>16:1:Ahead</v>
      </c>
      <c r="BJ387" s="554" t="str">
        <f t="shared" si="540"/>
        <v>Broken Wire (# Broken Subconductors)</v>
      </c>
      <c r="BK387" s="552">
        <f t="shared" si="541"/>
        <v>4</v>
      </c>
      <c r="BL387" s="554" t="str">
        <f t="shared" si="542"/>
        <v/>
      </c>
      <c r="BM387" s="554" t="str">
        <f t="shared" si="543"/>
        <v/>
      </c>
      <c r="BN387" s="552" t="str">
        <f t="shared" si="544"/>
        <v/>
      </c>
      <c r="BO387" s="554" t="str">
        <f t="shared" si="545"/>
        <v/>
      </c>
      <c r="BP387" s="554" t="str">
        <f t="shared" si="546"/>
        <v/>
      </c>
      <c r="BQ387" s="552" t="str">
        <f t="shared" si="547"/>
        <v/>
      </c>
      <c r="BR387" s="554"/>
      <c r="BS387" s="554"/>
      <c r="BT387" s="554"/>
      <c r="BU387" s="554"/>
      <c r="BV387" s="554"/>
      <c r="BW387" s="554"/>
      <c r="BX387" s="554"/>
      <c r="BY387" s="554"/>
      <c r="BZ387" s="554"/>
      <c r="CA387" s="554"/>
      <c r="CB387" s="554"/>
      <c r="CC387" s="554"/>
      <c r="CD387" s="554"/>
      <c r="CE387" s="554"/>
      <c r="CF387" s="554"/>
      <c r="CG387" s="554"/>
      <c r="CH387" s="554"/>
      <c r="CI387" s="554"/>
      <c r="CJ387" s="554"/>
      <c r="CK387" s="554"/>
      <c r="CL387" s="554"/>
      <c r="CM387" s="554"/>
      <c r="CN387" s="554"/>
      <c r="CO387" s="554"/>
      <c r="CP387" s="554"/>
      <c r="CQ387" s="554"/>
      <c r="CR387" s="554"/>
      <c r="CS387" s="554"/>
      <c r="CT387" s="554"/>
      <c r="CU387" s="554"/>
      <c r="CV387" s="554"/>
      <c r="CW387" s="554"/>
      <c r="CX387" s="554"/>
      <c r="CY387" s="554"/>
      <c r="CZ387" s="554"/>
      <c r="DA387" s="554"/>
      <c r="DB387" s="554"/>
      <c r="DC387" s="554"/>
      <c r="DD387" s="554"/>
      <c r="DE387" s="534"/>
      <c r="DF387" s="534"/>
      <c r="DG387" s="534"/>
    </row>
    <row r="388" spans="1:111" ht="15" x14ac:dyDescent="0.25">
      <c r="A388" s="549">
        <f>IFERROR(IF(INDEX('Weather Cases'!$E$10:$E$94,MATCH('Load Criteria'!X388,'Weather Cases'!$H$10:$H$94,0),1)=1,1,"-"),"-")</f>
        <v>1</v>
      </c>
      <c r="B388" s="555" t="s">
        <v>558</v>
      </c>
      <c r="C388" s="556" t="str">
        <f>IF('Weather Cases'!$E$46=0,"","DC")</f>
        <v>DC</v>
      </c>
      <c r="D388" s="555" t="s">
        <v>579</v>
      </c>
      <c r="E388" s="556">
        <v>2</v>
      </c>
      <c r="F388" s="556" t="s">
        <v>22</v>
      </c>
      <c r="G388" s="556" t="str">
        <f>IFERROR(IF(MID('Load Criteria'!X388,FIND("_",'Load Criteria'!X388,1)+1,1)=LEFT(Control!$D$23,1),"YES","-"),"-")</f>
        <v>-</v>
      </c>
      <c r="H388" s="549" t="str">
        <f>IF(INDEX('Weather Cases'!$G$10:$G$94,MATCH('Load Criteria'!X388,'Weather Cases'!$H$10:$H$94,0),1)="H","YES","")</f>
        <v>YES</v>
      </c>
      <c r="I388" s="557" t="s">
        <v>333</v>
      </c>
      <c r="J388" s="550">
        <f>Control!$D$25</f>
        <v>1</v>
      </c>
      <c r="K388" s="508" t="s">
        <v>571</v>
      </c>
      <c r="L388" s="508" t="s">
        <v>24</v>
      </c>
      <c r="M388" s="550">
        <v>5</v>
      </c>
      <c r="N388" s="550">
        <v>6</v>
      </c>
      <c r="O388" s="550"/>
      <c r="P388" s="392"/>
      <c r="Q388" s="392"/>
      <c r="R388" s="392"/>
      <c r="S388" s="392"/>
      <c r="T388" s="392"/>
      <c r="U388" s="255" t="s">
        <v>568</v>
      </c>
      <c r="V388" s="551"/>
      <c r="W388" s="542" t="str">
        <f t="shared" si="548"/>
        <v>RI0001_8+TA56 NA+</v>
      </c>
      <c r="X388" s="552" t="str">
        <f>I388&amp;TEXT(J388,"0000")&amp;"_"&amp;LEFT(Control!$D$22,LEN(Control!$D$22)-2)</f>
        <v>RI0001_8</v>
      </c>
      <c r="Y388" s="552" t="s">
        <v>433</v>
      </c>
      <c r="Z388" s="552" t="str">
        <f t="shared" si="529"/>
        <v>NA+</v>
      </c>
      <c r="AA388" s="552"/>
      <c r="AB388" s="552">
        <v>1</v>
      </c>
      <c r="AC388" s="552">
        <v>1</v>
      </c>
      <c r="AD388" s="552">
        <v>1</v>
      </c>
      <c r="AE388" s="552">
        <v>1</v>
      </c>
      <c r="AF388" s="552">
        <v>1</v>
      </c>
      <c r="AG388" s="542" t="s">
        <v>561</v>
      </c>
      <c r="AH388" s="552">
        <v>0</v>
      </c>
      <c r="AI388" s="552">
        <v>0</v>
      </c>
      <c r="AJ388" s="552">
        <v>1</v>
      </c>
      <c r="AK388" s="552">
        <v>1</v>
      </c>
      <c r="AL388" s="552">
        <v>1</v>
      </c>
      <c r="AM388" s="552">
        <v>0</v>
      </c>
      <c r="AN388" s="552">
        <v>0</v>
      </c>
      <c r="AO388" s="552">
        <v>1</v>
      </c>
      <c r="AP388" s="552">
        <v>1</v>
      </c>
      <c r="AQ388" s="552">
        <v>1</v>
      </c>
      <c r="AR388" s="552">
        <v>1</v>
      </c>
      <c r="AS388" s="552">
        <v>1</v>
      </c>
      <c r="AT388" s="552">
        <v>1</v>
      </c>
      <c r="AU388" s="552">
        <v>1</v>
      </c>
      <c r="AV388" s="553" t="str">
        <f>IF(H388="YES",IF($AV$2="Y","'"&amp;INDEX('Structure Groups'!$C$12:$C$14,MATCH($B$5,'Structure Groups'!$B$12:$B$14,0),1)&amp;"'","'"&amp;INDEX('Structure Groups'!$C$16:$C$18,MATCH($B$5,'Structure Groups'!$B$16:$B$18,0),1)&amp;"'"),IF($AV$2="Y","'All'","'Stop'"))</f>
        <v>'Stop GL Max 800m'</v>
      </c>
      <c r="AW388" s="552" t="s">
        <v>562</v>
      </c>
      <c r="AX388" s="552"/>
      <c r="AY388" s="552" t="str">
        <f t="shared" si="527"/>
        <v>Yes</v>
      </c>
      <c r="AZ388" s="554" t="str">
        <f t="shared" si="530"/>
        <v>5:1:Ahead</v>
      </c>
      <c r="BA388" s="554" t="str">
        <f t="shared" si="531"/>
        <v>Broken Wire (# Broken Subconductors)</v>
      </c>
      <c r="BB388" s="552">
        <f t="shared" si="532"/>
        <v>4</v>
      </c>
      <c r="BC388" s="554" t="str">
        <f t="shared" si="533"/>
        <v>15:1:Ahead</v>
      </c>
      <c r="BD388" s="554" t="str">
        <f t="shared" si="534"/>
        <v>Broken Wire (# Broken Subconductors)</v>
      </c>
      <c r="BE388" s="552">
        <f t="shared" si="535"/>
        <v>4</v>
      </c>
      <c r="BF388" s="554" t="str">
        <f t="shared" si="549"/>
        <v>6:1:Ahead</v>
      </c>
      <c r="BG388" s="554" t="str">
        <f t="shared" si="537"/>
        <v>Broken Wire (# Broken Subconductors)</v>
      </c>
      <c r="BH388" s="552">
        <f t="shared" si="538"/>
        <v>4</v>
      </c>
      <c r="BI388" s="554" t="str">
        <f t="shared" si="539"/>
        <v>16:1:Ahead</v>
      </c>
      <c r="BJ388" s="554" t="str">
        <f t="shared" si="540"/>
        <v>Broken Wire (# Broken Subconductors)</v>
      </c>
      <c r="BK388" s="552">
        <f t="shared" si="541"/>
        <v>4</v>
      </c>
      <c r="BL388" s="554" t="str">
        <f t="shared" si="542"/>
        <v/>
      </c>
      <c r="BM388" s="554" t="str">
        <f t="shared" si="543"/>
        <v/>
      </c>
      <c r="BN388" s="552" t="str">
        <f t="shared" si="544"/>
        <v/>
      </c>
      <c r="BO388" s="554" t="str">
        <f t="shared" si="545"/>
        <v/>
      </c>
      <c r="BP388" s="554" t="str">
        <f t="shared" si="546"/>
        <v/>
      </c>
      <c r="BQ388" s="552" t="str">
        <f t="shared" si="547"/>
        <v/>
      </c>
      <c r="BR388" s="554"/>
      <c r="BS388" s="554"/>
      <c r="BT388" s="554"/>
      <c r="BU388" s="554"/>
      <c r="BV388" s="554"/>
      <c r="BW388" s="554"/>
      <c r="BX388" s="554"/>
      <c r="BY388" s="554"/>
      <c r="BZ388" s="554"/>
      <c r="CA388" s="554"/>
      <c r="CB388" s="554"/>
      <c r="CC388" s="554"/>
      <c r="CD388" s="554"/>
      <c r="CE388" s="554"/>
      <c r="CF388" s="554"/>
      <c r="CG388" s="554"/>
      <c r="CH388" s="554"/>
      <c r="CI388" s="554"/>
      <c r="CJ388" s="554"/>
      <c r="CK388" s="554"/>
      <c r="CL388" s="554"/>
      <c r="CM388" s="554"/>
      <c r="CN388" s="554"/>
      <c r="CO388" s="554"/>
      <c r="CP388" s="554"/>
      <c r="CQ388" s="554"/>
      <c r="CR388" s="554"/>
      <c r="CS388" s="554"/>
      <c r="CT388" s="554"/>
      <c r="CU388" s="554"/>
      <c r="CV388" s="554"/>
      <c r="CW388" s="554"/>
      <c r="CX388" s="554"/>
      <c r="CY388" s="554"/>
      <c r="CZ388" s="554"/>
      <c r="DA388" s="554"/>
      <c r="DB388" s="554"/>
      <c r="DC388" s="554"/>
      <c r="DD388" s="554"/>
      <c r="DE388" s="534"/>
      <c r="DF388" s="534"/>
      <c r="DG388" s="534"/>
    </row>
    <row r="389" spans="1:111" ht="15" x14ac:dyDescent="0.25">
      <c r="A389" s="549">
        <f>IFERROR(IF(INDEX('Weather Cases'!$E$10:$E$94,MATCH('Load Criteria'!X389,'Weather Cases'!$H$10:$H$94,0),1)=1,1,"-"),"-")</f>
        <v>1</v>
      </c>
      <c r="B389" s="555" t="s">
        <v>558</v>
      </c>
      <c r="C389" s="556" t="str">
        <f>IF('Weather Cases'!$E$46=0,"","DC")</f>
        <v>DC</v>
      </c>
      <c r="D389" s="555" t="s">
        <v>579</v>
      </c>
      <c r="E389" s="556">
        <v>2</v>
      </c>
      <c r="F389" s="555" t="s">
        <v>581</v>
      </c>
      <c r="G389" s="556" t="str">
        <f>IFERROR(IF(MID('Load Criteria'!X389,FIND("_",'Load Criteria'!X389,1)+1,1)=LEFT(Control!$D$23,1),"YES","-"),"-")</f>
        <v>-</v>
      </c>
      <c r="H389" s="549" t="str">
        <f>IF(INDEX('Weather Cases'!$G$10:$G$94,MATCH('Load Criteria'!X389,'Weather Cases'!$H$10:$H$94,0),1)="H","YES","")</f>
        <v>YES</v>
      </c>
      <c r="I389" s="557" t="s">
        <v>333</v>
      </c>
      <c r="J389" s="550">
        <f>Control!$D$25</f>
        <v>1</v>
      </c>
      <c r="K389" s="508" t="s">
        <v>571</v>
      </c>
      <c r="L389" s="508" t="s">
        <v>24</v>
      </c>
      <c r="M389" s="550">
        <v>6</v>
      </c>
      <c r="N389" s="550">
        <v>8</v>
      </c>
      <c r="O389" s="550"/>
      <c r="P389" s="392"/>
      <c r="Q389" s="392"/>
      <c r="R389" s="392"/>
      <c r="S389" s="392"/>
      <c r="T389" s="392"/>
      <c r="U389" s="255" t="s">
        <v>568</v>
      </c>
      <c r="V389" s="551"/>
      <c r="W389" s="542" t="str">
        <f t="shared" si="548"/>
        <v>RI0001_8+TA68 NA+</v>
      </c>
      <c r="X389" s="552" t="str">
        <f>I389&amp;TEXT(J389,"0000")&amp;"_"&amp;LEFT(Control!$D$22,LEN(Control!$D$22)-2)</f>
        <v>RI0001_8</v>
      </c>
      <c r="Y389" s="552" t="s">
        <v>433</v>
      </c>
      <c r="Z389" s="552" t="str">
        <f t="shared" si="529"/>
        <v>NA+</v>
      </c>
      <c r="AA389" s="552"/>
      <c r="AB389" s="552">
        <v>1</v>
      </c>
      <c r="AC389" s="552">
        <v>1</v>
      </c>
      <c r="AD389" s="552">
        <v>1</v>
      </c>
      <c r="AE389" s="552">
        <v>1</v>
      </c>
      <c r="AF389" s="552">
        <v>1</v>
      </c>
      <c r="AG389" s="542" t="s">
        <v>561</v>
      </c>
      <c r="AH389" s="552">
        <v>0</v>
      </c>
      <c r="AI389" s="552">
        <v>0</v>
      </c>
      <c r="AJ389" s="552">
        <v>1</v>
      </c>
      <c r="AK389" s="552">
        <v>1</v>
      </c>
      <c r="AL389" s="552">
        <v>1</v>
      </c>
      <c r="AM389" s="552">
        <v>0</v>
      </c>
      <c r="AN389" s="552">
        <v>0</v>
      </c>
      <c r="AO389" s="552">
        <v>1</v>
      </c>
      <c r="AP389" s="552">
        <v>1</v>
      </c>
      <c r="AQ389" s="552">
        <v>1</v>
      </c>
      <c r="AR389" s="552">
        <v>1</v>
      </c>
      <c r="AS389" s="552">
        <v>1</v>
      </c>
      <c r="AT389" s="552">
        <v>1</v>
      </c>
      <c r="AU389" s="552">
        <v>1</v>
      </c>
      <c r="AV389" s="553" t="str">
        <f>IF(H389="YES",IF($AV$2="Y","'"&amp;INDEX('Structure Groups'!$C$12:$C$14,MATCH($B$5,'Structure Groups'!$B$12:$B$14,0),1)&amp;"'","'"&amp;INDEX('Structure Groups'!$C$16:$C$18,MATCH($B$5,'Structure Groups'!$B$16:$B$18,0),1)&amp;"'"),IF($AV$2="Y","'All'","'Stop'"))</f>
        <v>'Stop GL Max 800m'</v>
      </c>
      <c r="AW389" s="552" t="s">
        <v>562</v>
      </c>
      <c r="AX389" s="552"/>
      <c r="AY389" s="552" t="str">
        <f t="shared" si="527"/>
        <v>Yes</v>
      </c>
      <c r="AZ389" s="554" t="str">
        <f t="shared" si="530"/>
        <v>6:1:Ahead</v>
      </c>
      <c r="BA389" s="554" t="str">
        <f t="shared" si="531"/>
        <v>Broken Wire (# Broken Subconductors)</v>
      </c>
      <c r="BB389" s="552">
        <f t="shared" si="532"/>
        <v>4</v>
      </c>
      <c r="BC389" s="554" t="str">
        <f t="shared" si="533"/>
        <v>16:1:Ahead</v>
      </c>
      <c r="BD389" s="554" t="str">
        <f t="shared" si="534"/>
        <v>Broken Wire (# Broken Subconductors)</v>
      </c>
      <c r="BE389" s="552">
        <f t="shared" si="535"/>
        <v>4</v>
      </c>
      <c r="BF389" s="554" t="str">
        <f t="shared" si="549"/>
        <v>8:1:Ahead</v>
      </c>
      <c r="BG389" s="554" t="str">
        <f t="shared" si="537"/>
        <v>Broken Wire (# Broken Subconductors)</v>
      </c>
      <c r="BH389" s="552">
        <f t="shared" si="538"/>
        <v>4</v>
      </c>
      <c r="BI389" s="554" t="str">
        <f t="shared" si="539"/>
        <v>18:1:Ahead</v>
      </c>
      <c r="BJ389" s="554" t="str">
        <f t="shared" si="540"/>
        <v>Broken Wire (# Broken Subconductors)</v>
      </c>
      <c r="BK389" s="552">
        <f t="shared" si="541"/>
        <v>4</v>
      </c>
      <c r="BL389" s="554" t="str">
        <f t="shared" si="542"/>
        <v/>
      </c>
      <c r="BM389" s="554" t="str">
        <f t="shared" si="543"/>
        <v/>
      </c>
      <c r="BN389" s="552" t="str">
        <f t="shared" si="544"/>
        <v/>
      </c>
      <c r="BO389" s="554" t="str">
        <f t="shared" si="545"/>
        <v/>
      </c>
      <c r="BP389" s="554" t="str">
        <f t="shared" si="546"/>
        <v/>
      </c>
      <c r="BQ389" s="552" t="str">
        <f t="shared" si="547"/>
        <v/>
      </c>
      <c r="BR389" s="554"/>
      <c r="BS389" s="554"/>
      <c r="BT389" s="554"/>
      <c r="BU389" s="554"/>
      <c r="BV389" s="554"/>
      <c r="BW389" s="554"/>
      <c r="BX389" s="554"/>
      <c r="BY389" s="554"/>
      <c r="BZ389" s="554"/>
      <c r="CA389" s="554"/>
      <c r="CB389" s="554"/>
      <c r="CC389" s="554"/>
      <c r="CD389" s="554"/>
      <c r="CE389" s="554"/>
      <c r="CF389" s="554"/>
      <c r="CG389" s="554"/>
      <c r="CH389" s="554"/>
      <c r="CI389" s="554"/>
      <c r="CJ389" s="554"/>
      <c r="CK389" s="554"/>
      <c r="CL389" s="554"/>
      <c r="CM389" s="554"/>
      <c r="CN389" s="554"/>
      <c r="CO389" s="554"/>
      <c r="CP389" s="554"/>
      <c r="CQ389" s="554"/>
      <c r="CR389" s="554"/>
      <c r="CS389" s="554"/>
      <c r="CT389" s="554"/>
      <c r="CU389" s="554"/>
      <c r="CV389" s="554"/>
      <c r="CW389" s="554"/>
      <c r="CX389" s="554"/>
      <c r="CY389" s="554"/>
      <c r="CZ389" s="554"/>
      <c r="DA389" s="554"/>
      <c r="DB389" s="554"/>
      <c r="DC389" s="554"/>
      <c r="DD389" s="554"/>
      <c r="DE389" s="534"/>
      <c r="DF389" s="534"/>
      <c r="DG389" s="534"/>
    </row>
    <row r="390" spans="1:111" ht="15" x14ac:dyDescent="0.25">
      <c r="A390" s="549">
        <f>IFERROR(IF(INDEX('Weather Cases'!$E$10:$E$94,MATCH('Load Criteria'!X390,'Weather Cases'!$H$10:$H$94,0),1)=1,1,"-"),"-")</f>
        <v>1</v>
      </c>
      <c r="B390" s="555" t="s">
        <v>558</v>
      </c>
      <c r="C390" s="556" t="str">
        <f>IF('Weather Cases'!$E$46=0,"","DC")</f>
        <v>DC</v>
      </c>
      <c r="D390" s="555" t="s">
        <v>579</v>
      </c>
      <c r="E390" s="556">
        <v>2</v>
      </c>
      <c r="F390" s="556" t="s">
        <v>22</v>
      </c>
      <c r="G390" s="556" t="str">
        <f>IFERROR(IF(MID('Load Criteria'!X390,FIND("_",'Load Criteria'!X390,1)+1,1)=LEFT(Control!$D$23,1),"YES","-"),"-")</f>
        <v>-</v>
      </c>
      <c r="H390" s="549" t="str">
        <f>IF(INDEX('Weather Cases'!$G$10:$G$94,MATCH('Load Criteria'!X390,'Weather Cases'!$H$10:$H$94,0),1)="H","YES","")</f>
        <v>YES</v>
      </c>
      <c r="I390" s="557" t="s">
        <v>333</v>
      </c>
      <c r="J390" s="550">
        <f>Control!$D$25</f>
        <v>1</v>
      </c>
      <c r="K390" s="508" t="s">
        <v>571</v>
      </c>
      <c r="L390" s="508" t="s">
        <v>40</v>
      </c>
      <c r="M390" s="550">
        <v>1</v>
      </c>
      <c r="N390" s="550">
        <v>2</v>
      </c>
      <c r="O390" s="550"/>
      <c r="P390" s="392"/>
      <c r="Q390" s="392"/>
      <c r="R390" s="392"/>
      <c r="S390" s="392"/>
      <c r="T390" s="392"/>
      <c r="U390" s="255" t="s">
        <v>568</v>
      </c>
      <c r="V390" s="551"/>
      <c r="W390" s="542" t="str">
        <f t="shared" si="548"/>
        <v>RI0001_8+TB12 NA+</v>
      </c>
      <c r="X390" s="552" t="str">
        <f>I390&amp;TEXT(J390,"0000")&amp;"_"&amp;LEFT(Control!$D$22,LEN(Control!$D$22)-2)</f>
        <v>RI0001_8</v>
      </c>
      <c r="Y390" s="552" t="s">
        <v>433</v>
      </c>
      <c r="Z390" s="552" t="str">
        <f t="shared" si="529"/>
        <v>NA+</v>
      </c>
      <c r="AA390" s="552"/>
      <c r="AB390" s="552">
        <v>1</v>
      </c>
      <c r="AC390" s="552">
        <v>1</v>
      </c>
      <c r="AD390" s="552">
        <v>1</v>
      </c>
      <c r="AE390" s="552">
        <v>1</v>
      </c>
      <c r="AF390" s="552">
        <v>1</v>
      </c>
      <c r="AG390" s="542" t="s">
        <v>561</v>
      </c>
      <c r="AH390" s="552">
        <v>0</v>
      </c>
      <c r="AI390" s="552">
        <v>0</v>
      </c>
      <c r="AJ390" s="552">
        <v>1</v>
      </c>
      <c r="AK390" s="552">
        <v>1</v>
      </c>
      <c r="AL390" s="552">
        <v>1</v>
      </c>
      <c r="AM390" s="552">
        <v>0</v>
      </c>
      <c r="AN390" s="552">
        <v>0</v>
      </c>
      <c r="AO390" s="552">
        <v>1</v>
      </c>
      <c r="AP390" s="552">
        <v>1</v>
      </c>
      <c r="AQ390" s="552">
        <v>1</v>
      </c>
      <c r="AR390" s="552">
        <v>1</v>
      </c>
      <c r="AS390" s="552">
        <v>1</v>
      </c>
      <c r="AT390" s="552">
        <v>1</v>
      </c>
      <c r="AU390" s="552">
        <v>1</v>
      </c>
      <c r="AV390" s="553" t="str">
        <f>IF(H390="YES",IF($AV$2="Y","'"&amp;INDEX('Structure Groups'!$C$12:$C$14,MATCH($B$5,'Structure Groups'!$B$12:$B$14,0),1)&amp;"'","'"&amp;INDEX('Structure Groups'!$C$16:$C$18,MATCH($B$5,'Structure Groups'!$B$16:$B$18,0),1)&amp;"'"),IF($AV$2="Y","'All'","'Stop'"))</f>
        <v>'Stop GL Max 800m'</v>
      </c>
      <c r="AW390" s="552" t="s">
        <v>562</v>
      </c>
      <c r="AX390" s="552"/>
      <c r="AY390" s="552" t="str">
        <f t="shared" ref="AY390:AY413" si="550">IF(L390="","No","Yes")</f>
        <v>Yes</v>
      </c>
      <c r="AZ390" s="554" t="str">
        <f t="shared" si="530"/>
        <v>1:1:Back</v>
      </c>
      <c r="BA390" s="554" t="str">
        <f t="shared" si="531"/>
        <v>Broken Wire (# Broken Subconductors)</v>
      </c>
      <c r="BB390" s="552">
        <f t="shared" si="532"/>
        <v>4</v>
      </c>
      <c r="BC390" s="554" t="str">
        <f t="shared" si="533"/>
        <v>11:1:Back</v>
      </c>
      <c r="BD390" s="554" t="str">
        <f t="shared" si="534"/>
        <v>Broken Wire (# Broken Subconductors)</v>
      </c>
      <c r="BE390" s="552">
        <f t="shared" si="535"/>
        <v>4</v>
      </c>
      <c r="BF390" s="554" t="str">
        <f t="shared" si="549"/>
        <v>2:1:Back</v>
      </c>
      <c r="BG390" s="554" t="str">
        <f t="shared" si="537"/>
        <v>Broken Wire (# Broken Subconductors)</v>
      </c>
      <c r="BH390" s="552">
        <f t="shared" si="538"/>
        <v>4</v>
      </c>
      <c r="BI390" s="554" t="str">
        <f t="shared" si="539"/>
        <v>12:1:Back</v>
      </c>
      <c r="BJ390" s="554" t="str">
        <f t="shared" si="540"/>
        <v>Broken Wire (# Broken Subconductors)</v>
      </c>
      <c r="BK390" s="552">
        <f t="shared" si="541"/>
        <v>4</v>
      </c>
      <c r="BL390" s="554" t="str">
        <f t="shared" si="542"/>
        <v/>
      </c>
      <c r="BM390" s="554" t="str">
        <f t="shared" si="543"/>
        <v/>
      </c>
      <c r="BN390" s="552" t="str">
        <f t="shared" si="544"/>
        <v/>
      </c>
      <c r="BO390" s="554" t="str">
        <f t="shared" si="545"/>
        <v/>
      </c>
      <c r="BP390" s="554" t="str">
        <f t="shared" si="546"/>
        <v/>
      </c>
      <c r="BQ390" s="552" t="str">
        <f t="shared" si="547"/>
        <v/>
      </c>
      <c r="BR390" s="554"/>
      <c r="BS390" s="554"/>
      <c r="BT390" s="554"/>
      <c r="BU390" s="554"/>
      <c r="BV390" s="554"/>
      <c r="BW390" s="554"/>
      <c r="BX390" s="554"/>
      <c r="BY390" s="554"/>
      <c r="BZ390" s="554"/>
      <c r="CA390" s="554"/>
      <c r="CB390" s="554"/>
      <c r="CC390" s="554"/>
      <c r="CD390" s="554"/>
      <c r="CE390" s="554"/>
      <c r="CF390" s="554"/>
      <c r="CG390" s="554"/>
      <c r="CH390" s="554"/>
      <c r="CI390" s="554"/>
      <c r="CJ390" s="554"/>
      <c r="CK390" s="554"/>
      <c r="CL390" s="554"/>
      <c r="CM390" s="554"/>
      <c r="CN390" s="554"/>
      <c r="CO390" s="554"/>
      <c r="CP390" s="554"/>
      <c r="CQ390" s="554"/>
      <c r="CR390" s="554"/>
      <c r="CS390" s="554"/>
      <c r="CT390" s="554"/>
      <c r="CU390" s="554"/>
      <c r="CV390" s="554"/>
      <c r="CW390" s="554"/>
      <c r="CX390" s="554"/>
      <c r="CY390" s="554"/>
      <c r="CZ390" s="554"/>
      <c r="DA390" s="554"/>
      <c r="DB390" s="554"/>
      <c r="DC390" s="554"/>
      <c r="DD390" s="554"/>
      <c r="DE390" s="534"/>
      <c r="DF390" s="534"/>
      <c r="DG390" s="534"/>
    </row>
    <row r="391" spans="1:111" ht="15" x14ac:dyDescent="0.25">
      <c r="A391" s="549">
        <f>IFERROR(IF(INDEX('Weather Cases'!$E$10:$E$94,MATCH('Load Criteria'!X391,'Weather Cases'!$H$10:$H$94,0),1)=1,1,"-"),"-")</f>
        <v>1</v>
      </c>
      <c r="B391" s="555" t="s">
        <v>558</v>
      </c>
      <c r="C391" s="556" t="str">
        <f>IF('Weather Cases'!$E$46=0,"","DC")</f>
        <v>DC</v>
      </c>
      <c r="D391" s="555" t="s">
        <v>579</v>
      </c>
      <c r="E391" s="556">
        <v>2</v>
      </c>
      <c r="F391" s="556" t="s">
        <v>22</v>
      </c>
      <c r="G391" s="556" t="str">
        <f>IFERROR(IF(MID('Load Criteria'!X391,FIND("_",'Load Criteria'!X391,1)+1,1)=LEFT(Control!$D$23,1),"YES","-"),"-")</f>
        <v>-</v>
      </c>
      <c r="H391" s="549" t="str">
        <f>IF(INDEX('Weather Cases'!$G$10:$G$94,MATCH('Load Criteria'!X391,'Weather Cases'!$H$10:$H$94,0),1)="H","YES","")</f>
        <v>YES</v>
      </c>
      <c r="I391" s="557" t="s">
        <v>333</v>
      </c>
      <c r="J391" s="550">
        <f>Control!$D$25</f>
        <v>1</v>
      </c>
      <c r="K391" s="508" t="s">
        <v>571</v>
      </c>
      <c r="L391" s="508" t="s">
        <v>40</v>
      </c>
      <c r="M391" s="550">
        <v>2</v>
      </c>
      <c r="N391" s="550">
        <v>3</v>
      </c>
      <c r="O391" s="550"/>
      <c r="P391" s="392"/>
      <c r="Q391" s="392"/>
      <c r="R391" s="392"/>
      <c r="S391" s="392"/>
      <c r="T391" s="392"/>
      <c r="U391" s="255" t="s">
        <v>568</v>
      </c>
      <c r="V391" s="551"/>
      <c r="W391" s="542" t="str">
        <f t="shared" si="548"/>
        <v>RI0001_8+TB23 NA+</v>
      </c>
      <c r="X391" s="552" t="str">
        <f>I391&amp;TEXT(J391,"0000")&amp;"_"&amp;LEFT(Control!$D$22,LEN(Control!$D$22)-2)</f>
        <v>RI0001_8</v>
      </c>
      <c r="Y391" s="552" t="s">
        <v>433</v>
      </c>
      <c r="Z391" s="552" t="str">
        <f t="shared" si="529"/>
        <v>NA+</v>
      </c>
      <c r="AA391" s="552"/>
      <c r="AB391" s="552">
        <v>1</v>
      </c>
      <c r="AC391" s="552">
        <v>1</v>
      </c>
      <c r="AD391" s="552">
        <v>1</v>
      </c>
      <c r="AE391" s="552">
        <v>1</v>
      </c>
      <c r="AF391" s="552">
        <v>1</v>
      </c>
      <c r="AG391" s="542" t="s">
        <v>561</v>
      </c>
      <c r="AH391" s="552">
        <v>0</v>
      </c>
      <c r="AI391" s="552">
        <v>0</v>
      </c>
      <c r="AJ391" s="552">
        <v>1</v>
      </c>
      <c r="AK391" s="552">
        <v>1</v>
      </c>
      <c r="AL391" s="552">
        <v>1</v>
      </c>
      <c r="AM391" s="552">
        <v>0</v>
      </c>
      <c r="AN391" s="552">
        <v>0</v>
      </c>
      <c r="AO391" s="552">
        <v>1</v>
      </c>
      <c r="AP391" s="552">
        <v>1</v>
      </c>
      <c r="AQ391" s="552">
        <v>1</v>
      </c>
      <c r="AR391" s="552">
        <v>1</v>
      </c>
      <c r="AS391" s="552">
        <v>1</v>
      </c>
      <c r="AT391" s="552">
        <v>1</v>
      </c>
      <c r="AU391" s="552">
        <v>1</v>
      </c>
      <c r="AV391" s="553" t="str">
        <f>IF(H391="YES",IF($AV$2="Y","'"&amp;INDEX('Structure Groups'!$C$12:$C$14,MATCH($B$5,'Structure Groups'!$B$12:$B$14,0),1)&amp;"'","'"&amp;INDEX('Structure Groups'!$C$16:$C$18,MATCH($B$5,'Structure Groups'!$B$16:$B$18,0),1)&amp;"'"),IF($AV$2="Y","'All'","'Stop'"))</f>
        <v>'Stop GL Max 800m'</v>
      </c>
      <c r="AW391" s="552" t="s">
        <v>562</v>
      </c>
      <c r="AX391" s="552"/>
      <c r="AY391" s="552" t="str">
        <f t="shared" si="550"/>
        <v>Yes</v>
      </c>
      <c r="AZ391" s="554" t="str">
        <f t="shared" si="530"/>
        <v>2:1:Back</v>
      </c>
      <c r="BA391" s="554" t="str">
        <f t="shared" si="531"/>
        <v>Broken Wire (# Broken Subconductors)</v>
      </c>
      <c r="BB391" s="552">
        <f t="shared" si="532"/>
        <v>4</v>
      </c>
      <c r="BC391" s="554" t="str">
        <f t="shared" si="533"/>
        <v>12:1:Back</v>
      </c>
      <c r="BD391" s="554" t="str">
        <f t="shared" si="534"/>
        <v>Broken Wire (# Broken Subconductors)</v>
      </c>
      <c r="BE391" s="552">
        <f t="shared" si="535"/>
        <v>4</v>
      </c>
      <c r="BF391" s="554" t="str">
        <f t="shared" si="549"/>
        <v>3:1:Back</v>
      </c>
      <c r="BG391" s="554" t="str">
        <f t="shared" si="537"/>
        <v>Broken Wire (# Broken Subconductors)</v>
      </c>
      <c r="BH391" s="552">
        <f t="shared" si="538"/>
        <v>4</v>
      </c>
      <c r="BI391" s="554" t="str">
        <f t="shared" si="539"/>
        <v>13:1:Back</v>
      </c>
      <c r="BJ391" s="554" t="str">
        <f t="shared" si="540"/>
        <v>Broken Wire (# Broken Subconductors)</v>
      </c>
      <c r="BK391" s="552">
        <f t="shared" si="541"/>
        <v>4</v>
      </c>
      <c r="BL391" s="554" t="str">
        <f t="shared" si="542"/>
        <v/>
      </c>
      <c r="BM391" s="554" t="str">
        <f t="shared" si="543"/>
        <v/>
      </c>
      <c r="BN391" s="552" t="str">
        <f t="shared" si="544"/>
        <v/>
      </c>
      <c r="BO391" s="554" t="str">
        <f t="shared" si="545"/>
        <v/>
      </c>
      <c r="BP391" s="554" t="str">
        <f t="shared" si="546"/>
        <v/>
      </c>
      <c r="BQ391" s="552" t="str">
        <f t="shared" si="547"/>
        <v/>
      </c>
      <c r="BR391" s="554"/>
      <c r="BS391" s="554"/>
      <c r="BT391" s="554"/>
      <c r="BU391" s="554"/>
      <c r="BV391" s="554"/>
      <c r="BW391" s="554"/>
      <c r="BX391" s="554"/>
      <c r="BY391" s="554"/>
      <c r="BZ391" s="554"/>
      <c r="CA391" s="554"/>
      <c r="CB391" s="554"/>
      <c r="CC391" s="554"/>
      <c r="CD391" s="554"/>
      <c r="CE391" s="554"/>
      <c r="CF391" s="554"/>
      <c r="CG391" s="554"/>
      <c r="CH391" s="554"/>
      <c r="CI391" s="554"/>
      <c r="CJ391" s="554"/>
      <c r="CK391" s="554"/>
      <c r="CL391" s="554"/>
      <c r="CM391" s="554"/>
      <c r="CN391" s="554"/>
      <c r="CO391" s="554"/>
      <c r="CP391" s="554"/>
      <c r="CQ391" s="554"/>
      <c r="CR391" s="554"/>
      <c r="CS391" s="554"/>
      <c r="CT391" s="554"/>
      <c r="CU391" s="554"/>
      <c r="CV391" s="554"/>
      <c r="CW391" s="554"/>
      <c r="CX391" s="554"/>
      <c r="CY391" s="554"/>
      <c r="CZ391" s="554"/>
      <c r="DA391" s="554"/>
      <c r="DB391" s="554"/>
      <c r="DC391" s="554"/>
      <c r="DD391" s="554"/>
      <c r="DE391" s="534"/>
      <c r="DF391" s="534"/>
      <c r="DG391" s="534"/>
    </row>
    <row r="392" spans="1:111" ht="15" x14ac:dyDescent="0.25">
      <c r="A392" s="549">
        <f>IFERROR(IF(INDEX('Weather Cases'!$E$10:$E$94,MATCH('Load Criteria'!X392,'Weather Cases'!$H$10:$H$94,0),1)=1,1,"-"),"-")</f>
        <v>1</v>
      </c>
      <c r="B392" s="555" t="s">
        <v>558</v>
      </c>
      <c r="C392" s="556" t="str">
        <f>IF('Weather Cases'!$E$46=0,"","DC")</f>
        <v>DC</v>
      </c>
      <c r="D392" s="555" t="s">
        <v>579</v>
      </c>
      <c r="E392" s="556">
        <v>2</v>
      </c>
      <c r="F392" s="556" t="s">
        <v>22</v>
      </c>
      <c r="G392" s="556" t="str">
        <f>IFERROR(IF(MID('Load Criteria'!X392,FIND("_",'Load Criteria'!X392,1)+1,1)=LEFT(Control!$D$23,1),"YES","-"),"-")</f>
        <v>-</v>
      </c>
      <c r="H392" s="549" t="str">
        <f>IF(INDEX('Weather Cases'!$G$10:$G$94,MATCH('Load Criteria'!X392,'Weather Cases'!$H$10:$H$94,0),1)="H","YES","")</f>
        <v>YES</v>
      </c>
      <c r="I392" s="557" t="s">
        <v>333</v>
      </c>
      <c r="J392" s="550">
        <f>Control!$D$25</f>
        <v>1</v>
      </c>
      <c r="K392" s="508" t="s">
        <v>571</v>
      </c>
      <c r="L392" s="508" t="s">
        <v>40</v>
      </c>
      <c r="M392" s="550">
        <v>1</v>
      </c>
      <c r="N392" s="550">
        <v>3</v>
      </c>
      <c r="O392" s="550"/>
      <c r="P392" s="392"/>
      <c r="Q392" s="392"/>
      <c r="R392" s="392"/>
      <c r="S392" s="392"/>
      <c r="T392" s="392"/>
      <c r="U392" s="255" t="s">
        <v>568</v>
      </c>
      <c r="V392" s="551"/>
      <c r="W392" s="542" t="str">
        <f t="shared" si="548"/>
        <v>RI0001_8+TB13 NA+</v>
      </c>
      <c r="X392" s="552" t="str">
        <f>I392&amp;TEXT(J392,"0000")&amp;"_"&amp;LEFT(Control!$D$22,LEN(Control!$D$22)-2)</f>
        <v>RI0001_8</v>
      </c>
      <c r="Y392" s="552" t="s">
        <v>433</v>
      </c>
      <c r="Z392" s="552" t="str">
        <f t="shared" si="529"/>
        <v>NA+</v>
      </c>
      <c r="AA392" s="552"/>
      <c r="AB392" s="552">
        <v>1</v>
      </c>
      <c r="AC392" s="552">
        <v>1</v>
      </c>
      <c r="AD392" s="552">
        <v>1</v>
      </c>
      <c r="AE392" s="552">
        <v>1</v>
      </c>
      <c r="AF392" s="552">
        <v>1</v>
      </c>
      <c r="AG392" s="542" t="s">
        <v>561</v>
      </c>
      <c r="AH392" s="552">
        <v>0</v>
      </c>
      <c r="AI392" s="552">
        <v>0</v>
      </c>
      <c r="AJ392" s="552">
        <v>1</v>
      </c>
      <c r="AK392" s="552">
        <v>1</v>
      </c>
      <c r="AL392" s="552">
        <v>1</v>
      </c>
      <c r="AM392" s="552">
        <v>0</v>
      </c>
      <c r="AN392" s="552">
        <v>0</v>
      </c>
      <c r="AO392" s="552">
        <v>1</v>
      </c>
      <c r="AP392" s="552">
        <v>1</v>
      </c>
      <c r="AQ392" s="552">
        <v>1</v>
      </c>
      <c r="AR392" s="552">
        <v>1</v>
      </c>
      <c r="AS392" s="552">
        <v>1</v>
      </c>
      <c r="AT392" s="552">
        <v>1</v>
      </c>
      <c r="AU392" s="552">
        <v>1</v>
      </c>
      <c r="AV392" s="553" t="str">
        <f>IF(H392="YES",IF($AV$2="Y","'"&amp;INDEX('Structure Groups'!$C$12:$C$14,MATCH($B$5,'Structure Groups'!$B$12:$B$14,0),1)&amp;"'","'"&amp;INDEX('Structure Groups'!$C$16:$C$18,MATCH($B$5,'Structure Groups'!$B$16:$B$18,0),1)&amp;"'"),IF($AV$2="Y","'All'","'Stop'"))</f>
        <v>'Stop GL Max 800m'</v>
      </c>
      <c r="AW392" s="552" t="s">
        <v>562</v>
      </c>
      <c r="AX392" s="552"/>
      <c r="AY392" s="552" t="str">
        <f t="shared" si="550"/>
        <v>Yes</v>
      </c>
      <c r="AZ392" s="554" t="str">
        <f t="shared" si="530"/>
        <v>1:1:Back</v>
      </c>
      <c r="BA392" s="554" t="str">
        <f t="shared" si="531"/>
        <v>Broken Wire (# Broken Subconductors)</v>
      </c>
      <c r="BB392" s="552">
        <f t="shared" si="532"/>
        <v>4</v>
      </c>
      <c r="BC392" s="554" t="str">
        <f t="shared" si="533"/>
        <v>11:1:Back</v>
      </c>
      <c r="BD392" s="554" t="str">
        <f t="shared" si="534"/>
        <v>Broken Wire (# Broken Subconductors)</v>
      </c>
      <c r="BE392" s="552">
        <f t="shared" si="535"/>
        <v>4</v>
      </c>
      <c r="BF392" s="554" t="str">
        <f t="shared" si="549"/>
        <v>3:1:Back</v>
      </c>
      <c r="BG392" s="554" t="str">
        <f t="shared" si="537"/>
        <v>Broken Wire (# Broken Subconductors)</v>
      </c>
      <c r="BH392" s="552">
        <f t="shared" si="538"/>
        <v>4</v>
      </c>
      <c r="BI392" s="554" t="str">
        <f t="shared" si="539"/>
        <v>13:1:Back</v>
      </c>
      <c r="BJ392" s="554" t="str">
        <f t="shared" si="540"/>
        <v>Broken Wire (# Broken Subconductors)</v>
      </c>
      <c r="BK392" s="552">
        <f t="shared" si="541"/>
        <v>4</v>
      </c>
      <c r="BL392" s="554" t="str">
        <f t="shared" si="542"/>
        <v/>
      </c>
      <c r="BM392" s="554" t="str">
        <f t="shared" si="543"/>
        <v/>
      </c>
      <c r="BN392" s="552" t="str">
        <f t="shared" si="544"/>
        <v/>
      </c>
      <c r="BO392" s="554" t="str">
        <f t="shared" si="545"/>
        <v/>
      </c>
      <c r="BP392" s="554" t="str">
        <f t="shared" si="546"/>
        <v/>
      </c>
      <c r="BQ392" s="552" t="str">
        <f t="shared" si="547"/>
        <v/>
      </c>
      <c r="BR392" s="554"/>
      <c r="BS392" s="554"/>
      <c r="BT392" s="554"/>
      <c r="BU392" s="554"/>
      <c r="BV392" s="554"/>
      <c r="BW392" s="554"/>
      <c r="BX392" s="554"/>
      <c r="BY392" s="554"/>
      <c r="BZ392" s="554"/>
      <c r="CA392" s="554"/>
      <c r="CB392" s="554"/>
      <c r="CC392" s="554"/>
      <c r="CD392" s="554"/>
      <c r="CE392" s="554"/>
      <c r="CF392" s="554"/>
      <c r="CG392" s="554"/>
      <c r="CH392" s="554"/>
      <c r="CI392" s="554"/>
      <c r="CJ392" s="554"/>
      <c r="CK392" s="554"/>
      <c r="CL392" s="554"/>
      <c r="CM392" s="554"/>
      <c r="CN392" s="554"/>
      <c r="CO392" s="554"/>
      <c r="CP392" s="554"/>
      <c r="CQ392" s="554"/>
      <c r="CR392" s="554"/>
      <c r="CS392" s="554"/>
      <c r="CT392" s="554"/>
      <c r="CU392" s="554"/>
      <c r="CV392" s="554"/>
      <c r="CW392" s="554"/>
      <c r="CX392" s="554"/>
      <c r="CY392" s="554"/>
      <c r="CZ392" s="554"/>
      <c r="DA392" s="554"/>
      <c r="DB392" s="554"/>
      <c r="DC392" s="554"/>
      <c r="DD392" s="554"/>
      <c r="DE392" s="534"/>
      <c r="DF392" s="534"/>
      <c r="DG392" s="534"/>
    </row>
    <row r="393" spans="1:111" ht="15" x14ac:dyDescent="0.25">
      <c r="A393" s="549">
        <f>IFERROR(IF(INDEX('Weather Cases'!$E$10:$E$94,MATCH('Load Criteria'!X393,'Weather Cases'!$H$10:$H$94,0),1)=1,1,"-"),"-")</f>
        <v>1</v>
      </c>
      <c r="B393" s="555" t="s">
        <v>558</v>
      </c>
      <c r="C393" s="556" t="str">
        <f>IF('Weather Cases'!$E$46=0,"","DC")</f>
        <v>DC</v>
      </c>
      <c r="D393" s="555" t="s">
        <v>579</v>
      </c>
      <c r="E393" s="556">
        <v>2</v>
      </c>
      <c r="F393" s="555" t="s">
        <v>580</v>
      </c>
      <c r="G393" s="556" t="str">
        <f>IFERROR(IF(MID('Load Criteria'!X393,FIND("_",'Load Criteria'!X393,1)+1,1)=LEFT(Control!$D$23,1),"YES","-"),"-")</f>
        <v>-</v>
      </c>
      <c r="H393" s="549" t="str">
        <f>IF(INDEX('Weather Cases'!$G$10:$G$94,MATCH('Load Criteria'!X393,'Weather Cases'!$H$10:$H$94,0),1)="H","YES","")</f>
        <v>YES</v>
      </c>
      <c r="I393" s="557" t="s">
        <v>333</v>
      </c>
      <c r="J393" s="550">
        <f>Control!$D$25</f>
        <v>1</v>
      </c>
      <c r="K393" s="508" t="s">
        <v>571</v>
      </c>
      <c r="L393" s="508" t="s">
        <v>40</v>
      </c>
      <c r="M393" s="550">
        <v>3</v>
      </c>
      <c r="N393" s="550">
        <v>7</v>
      </c>
      <c r="O393" s="550"/>
      <c r="P393" s="392"/>
      <c r="Q393" s="392"/>
      <c r="R393" s="392"/>
      <c r="S393" s="392"/>
      <c r="T393" s="392"/>
      <c r="U393" s="255" t="s">
        <v>568</v>
      </c>
      <c r="V393" s="551"/>
      <c r="W393" s="542" t="str">
        <f t="shared" si="548"/>
        <v>RI0001_8+TB37 NA+</v>
      </c>
      <c r="X393" s="552" t="str">
        <f>I393&amp;TEXT(J393,"0000")&amp;"_"&amp;LEFT(Control!$D$22,LEN(Control!$D$22)-2)</f>
        <v>RI0001_8</v>
      </c>
      <c r="Y393" s="552" t="s">
        <v>433</v>
      </c>
      <c r="Z393" s="552" t="str">
        <f t="shared" si="529"/>
        <v>NA+</v>
      </c>
      <c r="AA393" s="552"/>
      <c r="AB393" s="552">
        <v>1</v>
      </c>
      <c r="AC393" s="552">
        <v>1</v>
      </c>
      <c r="AD393" s="552">
        <v>1</v>
      </c>
      <c r="AE393" s="552">
        <v>1</v>
      </c>
      <c r="AF393" s="552">
        <v>1</v>
      </c>
      <c r="AG393" s="542" t="s">
        <v>561</v>
      </c>
      <c r="AH393" s="552">
        <v>0</v>
      </c>
      <c r="AI393" s="552">
        <v>0</v>
      </c>
      <c r="AJ393" s="552">
        <v>1</v>
      </c>
      <c r="AK393" s="552">
        <v>1</v>
      </c>
      <c r="AL393" s="552">
        <v>1</v>
      </c>
      <c r="AM393" s="552">
        <v>0</v>
      </c>
      <c r="AN393" s="552">
        <v>0</v>
      </c>
      <c r="AO393" s="552">
        <v>1</v>
      </c>
      <c r="AP393" s="552">
        <v>1</v>
      </c>
      <c r="AQ393" s="552">
        <v>1</v>
      </c>
      <c r="AR393" s="552">
        <v>1</v>
      </c>
      <c r="AS393" s="552">
        <v>1</v>
      </c>
      <c r="AT393" s="552">
        <v>1</v>
      </c>
      <c r="AU393" s="552">
        <v>1</v>
      </c>
      <c r="AV393" s="553" t="str">
        <f>IF(H393="YES",IF($AV$2="Y","'"&amp;INDEX('Structure Groups'!$C$12:$C$14,MATCH($B$5,'Structure Groups'!$B$12:$B$14,0),1)&amp;"'","'"&amp;INDEX('Structure Groups'!$C$16:$C$18,MATCH($B$5,'Structure Groups'!$B$16:$B$18,0),1)&amp;"'"),IF($AV$2="Y","'All'","'Stop'"))</f>
        <v>'Stop GL Max 800m'</v>
      </c>
      <c r="AW393" s="552" t="s">
        <v>562</v>
      </c>
      <c r="AX393" s="552"/>
      <c r="AY393" s="552" t="str">
        <f t="shared" si="550"/>
        <v>Yes</v>
      </c>
      <c r="AZ393" s="554" t="str">
        <f t="shared" si="530"/>
        <v>3:1:Back</v>
      </c>
      <c r="BA393" s="554" t="str">
        <f t="shared" si="531"/>
        <v>Broken Wire (# Broken Subconductors)</v>
      </c>
      <c r="BB393" s="552">
        <f t="shared" si="532"/>
        <v>4</v>
      </c>
      <c r="BC393" s="554" t="str">
        <f t="shared" si="533"/>
        <v>13:1:Back</v>
      </c>
      <c r="BD393" s="554" t="str">
        <f t="shared" si="534"/>
        <v>Broken Wire (# Broken Subconductors)</v>
      </c>
      <c r="BE393" s="552">
        <f t="shared" si="535"/>
        <v>4</v>
      </c>
      <c r="BF393" s="554" t="str">
        <f t="shared" si="549"/>
        <v>7:1:Back</v>
      </c>
      <c r="BG393" s="554" t="str">
        <f t="shared" si="537"/>
        <v>Broken Wire (# Broken Subconductors)</v>
      </c>
      <c r="BH393" s="552">
        <f t="shared" si="538"/>
        <v>4</v>
      </c>
      <c r="BI393" s="554" t="str">
        <f t="shared" si="539"/>
        <v>17:1:Back</v>
      </c>
      <c r="BJ393" s="554" t="str">
        <f t="shared" si="540"/>
        <v>Broken Wire (# Broken Subconductors)</v>
      </c>
      <c r="BK393" s="552">
        <f t="shared" si="541"/>
        <v>4</v>
      </c>
      <c r="BL393" s="554" t="str">
        <f t="shared" si="542"/>
        <v/>
      </c>
      <c r="BM393" s="554" t="str">
        <f t="shared" si="543"/>
        <v/>
      </c>
      <c r="BN393" s="552" t="str">
        <f t="shared" si="544"/>
        <v/>
      </c>
      <c r="BO393" s="554" t="str">
        <f t="shared" si="545"/>
        <v/>
      </c>
      <c r="BP393" s="554" t="str">
        <f t="shared" si="546"/>
        <v/>
      </c>
      <c r="BQ393" s="552" t="str">
        <f t="shared" si="547"/>
        <v/>
      </c>
      <c r="BR393" s="554"/>
      <c r="BS393" s="554"/>
      <c r="BT393" s="554"/>
      <c r="BU393" s="554"/>
      <c r="BV393" s="554"/>
      <c r="BW393" s="554"/>
      <c r="BX393" s="554"/>
      <c r="BY393" s="554"/>
      <c r="BZ393" s="554"/>
      <c r="CA393" s="554"/>
      <c r="CB393" s="554"/>
      <c r="CC393" s="554"/>
      <c r="CD393" s="554"/>
      <c r="CE393" s="554"/>
      <c r="CF393" s="554"/>
      <c r="CG393" s="554"/>
      <c r="CH393" s="554"/>
      <c r="CI393" s="554"/>
      <c r="CJ393" s="554"/>
      <c r="CK393" s="554"/>
      <c r="CL393" s="554"/>
      <c r="CM393" s="554"/>
      <c r="CN393" s="554"/>
      <c r="CO393" s="554"/>
      <c r="CP393" s="554"/>
      <c r="CQ393" s="554"/>
      <c r="CR393" s="554"/>
      <c r="CS393" s="554"/>
      <c r="CT393" s="554"/>
      <c r="CU393" s="554"/>
      <c r="CV393" s="554"/>
      <c r="CW393" s="554"/>
      <c r="CX393" s="554"/>
      <c r="CY393" s="554"/>
      <c r="CZ393" s="554"/>
      <c r="DA393" s="554"/>
      <c r="DB393" s="554"/>
      <c r="DC393" s="554"/>
      <c r="DD393" s="554"/>
      <c r="DE393" s="534"/>
      <c r="DF393" s="534"/>
      <c r="DG393" s="534"/>
    </row>
    <row r="394" spans="1:111" ht="15" x14ac:dyDescent="0.25">
      <c r="A394" s="549">
        <f>IFERROR(IF(INDEX('Weather Cases'!$E$10:$E$94,MATCH('Load Criteria'!X394,'Weather Cases'!$H$10:$H$94,0),1)=1,1,"-"),"-")</f>
        <v>1</v>
      </c>
      <c r="B394" s="555" t="s">
        <v>558</v>
      </c>
      <c r="C394" s="556" t="str">
        <f>IF('Weather Cases'!$E$46=0,"","DC")</f>
        <v>DC</v>
      </c>
      <c r="D394" s="555" t="s">
        <v>579</v>
      </c>
      <c r="E394" s="556">
        <v>2</v>
      </c>
      <c r="F394" s="556" t="s">
        <v>22</v>
      </c>
      <c r="G394" s="556" t="str">
        <f>IFERROR(IF(MID('Load Criteria'!X394,FIND("_",'Load Criteria'!X394,1)+1,1)=LEFT(Control!$D$23,1),"YES","-"),"-")</f>
        <v>-</v>
      </c>
      <c r="H394" s="549" t="str">
        <f>IF(INDEX('Weather Cases'!$G$10:$G$94,MATCH('Load Criteria'!X394,'Weather Cases'!$H$10:$H$94,0),1)="H","YES","")</f>
        <v>YES</v>
      </c>
      <c r="I394" s="557" t="s">
        <v>333</v>
      </c>
      <c r="J394" s="550">
        <f>Control!$D$25</f>
        <v>1</v>
      </c>
      <c r="K394" s="508" t="s">
        <v>571</v>
      </c>
      <c r="L394" s="508" t="s">
        <v>40</v>
      </c>
      <c r="M394" s="550">
        <v>4</v>
      </c>
      <c r="N394" s="550">
        <v>5</v>
      </c>
      <c r="O394" s="550"/>
      <c r="P394" s="392"/>
      <c r="Q394" s="392"/>
      <c r="R394" s="392"/>
      <c r="S394" s="392"/>
      <c r="T394" s="392"/>
      <c r="U394" s="255" t="s">
        <v>568</v>
      </c>
      <c r="V394" s="551"/>
      <c r="W394" s="542" t="str">
        <f t="shared" si="548"/>
        <v>RI0001_8+TB45 NA+</v>
      </c>
      <c r="X394" s="552" t="str">
        <f>I394&amp;TEXT(J394,"0000")&amp;"_"&amp;LEFT(Control!$D$22,LEN(Control!$D$22)-2)</f>
        <v>RI0001_8</v>
      </c>
      <c r="Y394" s="552" t="s">
        <v>433</v>
      </c>
      <c r="Z394" s="552" t="str">
        <f t="shared" si="529"/>
        <v>NA+</v>
      </c>
      <c r="AA394" s="552"/>
      <c r="AB394" s="552">
        <v>1</v>
      </c>
      <c r="AC394" s="552">
        <v>1</v>
      </c>
      <c r="AD394" s="552">
        <v>1</v>
      </c>
      <c r="AE394" s="552">
        <v>1</v>
      </c>
      <c r="AF394" s="552">
        <v>1</v>
      </c>
      <c r="AG394" s="542" t="s">
        <v>561</v>
      </c>
      <c r="AH394" s="552">
        <v>0</v>
      </c>
      <c r="AI394" s="552">
        <v>0</v>
      </c>
      <c r="AJ394" s="552">
        <v>1</v>
      </c>
      <c r="AK394" s="552">
        <v>1</v>
      </c>
      <c r="AL394" s="552">
        <v>1</v>
      </c>
      <c r="AM394" s="552">
        <v>0</v>
      </c>
      <c r="AN394" s="552">
        <v>0</v>
      </c>
      <c r="AO394" s="552">
        <v>1</v>
      </c>
      <c r="AP394" s="552">
        <v>1</v>
      </c>
      <c r="AQ394" s="552">
        <v>1</v>
      </c>
      <c r="AR394" s="552">
        <v>1</v>
      </c>
      <c r="AS394" s="552">
        <v>1</v>
      </c>
      <c r="AT394" s="552">
        <v>1</v>
      </c>
      <c r="AU394" s="552">
        <v>1</v>
      </c>
      <c r="AV394" s="553" t="str">
        <f>IF(H394="YES",IF($AV$2="Y","'"&amp;INDEX('Structure Groups'!$C$12:$C$14,MATCH($B$5,'Structure Groups'!$B$12:$B$14,0),1)&amp;"'","'"&amp;INDEX('Structure Groups'!$C$16:$C$18,MATCH($B$5,'Structure Groups'!$B$16:$B$18,0),1)&amp;"'"),IF($AV$2="Y","'All'","'Stop'"))</f>
        <v>'Stop GL Max 800m'</v>
      </c>
      <c r="AW394" s="552" t="s">
        <v>562</v>
      </c>
      <c r="AX394" s="552"/>
      <c r="AY394" s="552" t="str">
        <f t="shared" si="550"/>
        <v>Yes</v>
      </c>
      <c r="AZ394" s="554" t="str">
        <f t="shared" si="530"/>
        <v>4:1:Back</v>
      </c>
      <c r="BA394" s="554" t="str">
        <f t="shared" si="531"/>
        <v>Broken Wire (# Broken Subconductors)</v>
      </c>
      <c r="BB394" s="552">
        <f t="shared" si="532"/>
        <v>4</v>
      </c>
      <c r="BC394" s="554" t="str">
        <f t="shared" si="533"/>
        <v>14:1:Back</v>
      </c>
      <c r="BD394" s="554" t="str">
        <f t="shared" si="534"/>
        <v>Broken Wire (# Broken Subconductors)</v>
      </c>
      <c r="BE394" s="552">
        <f t="shared" si="535"/>
        <v>4</v>
      </c>
      <c r="BF394" s="554" t="str">
        <f t="shared" si="549"/>
        <v>5:1:Back</v>
      </c>
      <c r="BG394" s="554" t="str">
        <f t="shared" si="537"/>
        <v>Broken Wire (# Broken Subconductors)</v>
      </c>
      <c r="BH394" s="552">
        <f t="shared" si="538"/>
        <v>4</v>
      </c>
      <c r="BI394" s="554" t="str">
        <f t="shared" si="539"/>
        <v>15:1:Back</v>
      </c>
      <c r="BJ394" s="554" t="str">
        <f t="shared" si="540"/>
        <v>Broken Wire (# Broken Subconductors)</v>
      </c>
      <c r="BK394" s="552">
        <f t="shared" si="541"/>
        <v>4</v>
      </c>
      <c r="BL394" s="554" t="str">
        <f t="shared" si="542"/>
        <v/>
      </c>
      <c r="BM394" s="554" t="str">
        <f t="shared" si="543"/>
        <v/>
      </c>
      <c r="BN394" s="552" t="str">
        <f t="shared" si="544"/>
        <v/>
      </c>
      <c r="BO394" s="554" t="str">
        <f t="shared" si="545"/>
        <v/>
      </c>
      <c r="BP394" s="554" t="str">
        <f t="shared" si="546"/>
        <v/>
      </c>
      <c r="BQ394" s="552" t="str">
        <f t="shared" si="547"/>
        <v/>
      </c>
      <c r="BR394" s="554"/>
      <c r="BS394" s="554"/>
      <c r="BT394" s="554"/>
      <c r="BU394" s="554"/>
      <c r="BV394" s="554"/>
      <c r="BW394" s="554"/>
      <c r="BX394" s="554"/>
      <c r="BY394" s="554"/>
      <c r="BZ394" s="554"/>
      <c r="CA394" s="554"/>
      <c r="CB394" s="554"/>
      <c r="CC394" s="554"/>
      <c r="CD394" s="554"/>
      <c r="CE394" s="554"/>
      <c r="CF394" s="554"/>
      <c r="CG394" s="554"/>
      <c r="CH394" s="554"/>
      <c r="CI394" s="554"/>
      <c r="CJ394" s="554"/>
      <c r="CK394" s="554"/>
      <c r="CL394" s="554"/>
      <c r="CM394" s="554"/>
      <c r="CN394" s="554"/>
      <c r="CO394" s="554"/>
      <c r="CP394" s="554"/>
      <c r="CQ394" s="554"/>
      <c r="CR394" s="554"/>
      <c r="CS394" s="554"/>
      <c r="CT394" s="554"/>
      <c r="CU394" s="554"/>
      <c r="CV394" s="554"/>
      <c r="CW394" s="554"/>
      <c r="CX394" s="554"/>
      <c r="CY394" s="554"/>
      <c r="CZ394" s="554"/>
      <c r="DA394" s="554"/>
      <c r="DB394" s="554"/>
      <c r="DC394" s="554"/>
      <c r="DD394" s="554"/>
      <c r="DE394" s="534"/>
      <c r="DF394" s="534"/>
      <c r="DG394" s="534"/>
    </row>
    <row r="395" spans="1:111" ht="15" x14ac:dyDescent="0.25">
      <c r="A395" s="549">
        <f>IFERROR(IF(INDEX('Weather Cases'!$E$10:$E$94,MATCH('Load Criteria'!X395,'Weather Cases'!$H$10:$H$94,0),1)=1,1,"-"),"-")</f>
        <v>1</v>
      </c>
      <c r="B395" s="555" t="s">
        <v>558</v>
      </c>
      <c r="C395" s="556" t="str">
        <f>IF('Weather Cases'!$E$46=0,"","DC")</f>
        <v>DC</v>
      </c>
      <c r="D395" s="555" t="s">
        <v>579</v>
      </c>
      <c r="E395" s="556">
        <v>2</v>
      </c>
      <c r="F395" s="556" t="s">
        <v>22</v>
      </c>
      <c r="G395" s="556" t="str">
        <f>IFERROR(IF(MID('Load Criteria'!X395,FIND("_",'Load Criteria'!X395,1)+1,1)=LEFT(Control!$D$23,1),"YES","-"),"-")</f>
        <v>-</v>
      </c>
      <c r="H395" s="549" t="str">
        <f>IF(INDEX('Weather Cases'!$G$10:$G$94,MATCH('Load Criteria'!X395,'Weather Cases'!$H$10:$H$94,0),1)="H","YES","")</f>
        <v>YES</v>
      </c>
      <c r="I395" s="557" t="s">
        <v>333</v>
      </c>
      <c r="J395" s="550">
        <f>Control!$D$25</f>
        <v>1</v>
      </c>
      <c r="K395" s="508" t="s">
        <v>571</v>
      </c>
      <c r="L395" s="508" t="s">
        <v>40</v>
      </c>
      <c r="M395" s="550">
        <v>4</v>
      </c>
      <c r="N395" s="550">
        <v>6</v>
      </c>
      <c r="O395" s="550"/>
      <c r="P395" s="392"/>
      <c r="Q395" s="392"/>
      <c r="R395" s="392"/>
      <c r="S395" s="392"/>
      <c r="T395" s="392"/>
      <c r="U395" s="255" t="s">
        <v>568</v>
      </c>
      <c r="V395" s="551"/>
      <c r="W395" s="542" t="str">
        <f t="shared" si="548"/>
        <v>RI0001_8+TB46 NA+</v>
      </c>
      <c r="X395" s="552" t="str">
        <f>I395&amp;TEXT(J395,"0000")&amp;"_"&amp;LEFT(Control!$D$22,LEN(Control!$D$22)-2)</f>
        <v>RI0001_8</v>
      </c>
      <c r="Y395" s="552" t="s">
        <v>433</v>
      </c>
      <c r="Z395" s="552" t="str">
        <f t="shared" si="529"/>
        <v>NA+</v>
      </c>
      <c r="AA395" s="552"/>
      <c r="AB395" s="552">
        <v>1</v>
      </c>
      <c r="AC395" s="552">
        <v>1</v>
      </c>
      <c r="AD395" s="552">
        <v>1</v>
      </c>
      <c r="AE395" s="552">
        <v>1</v>
      </c>
      <c r="AF395" s="552">
        <v>1</v>
      </c>
      <c r="AG395" s="542" t="s">
        <v>561</v>
      </c>
      <c r="AH395" s="552">
        <v>0</v>
      </c>
      <c r="AI395" s="552">
        <v>0</v>
      </c>
      <c r="AJ395" s="552">
        <v>1</v>
      </c>
      <c r="AK395" s="552">
        <v>1</v>
      </c>
      <c r="AL395" s="552">
        <v>1</v>
      </c>
      <c r="AM395" s="552">
        <v>0</v>
      </c>
      <c r="AN395" s="552">
        <v>0</v>
      </c>
      <c r="AO395" s="552">
        <v>1</v>
      </c>
      <c r="AP395" s="552">
        <v>1</v>
      </c>
      <c r="AQ395" s="552">
        <v>1</v>
      </c>
      <c r="AR395" s="552">
        <v>1</v>
      </c>
      <c r="AS395" s="552">
        <v>1</v>
      </c>
      <c r="AT395" s="552">
        <v>1</v>
      </c>
      <c r="AU395" s="552">
        <v>1</v>
      </c>
      <c r="AV395" s="553" t="str">
        <f>IF(H395="YES",IF($AV$2="Y","'"&amp;INDEX('Structure Groups'!$C$12:$C$14,MATCH($B$5,'Structure Groups'!$B$12:$B$14,0),1)&amp;"'","'"&amp;INDEX('Structure Groups'!$C$16:$C$18,MATCH($B$5,'Structure Groups'!$B$16:$B$18,0),1)&amp;"'"),IF($AV$2="Y","'All'","'Stop'"))</f>
        <v>'Stop GL Max 800m'</v>
      </c>
      <c r="AW395" s="552" t="s">
        <v>562</v>
      </c>
      <c r="AX395" s="552"/>
      <c r="AY395" s="552" t="str">
        <f t="shared" si="550"/>
        <v>Yes</v>
      </c>
      <c r="AZ395" s="554" t="str">
        <f t="shared" si="530"/>
        <v>4:1:Back</v>
      </c>
      <c r="BA395" s="554" t="str">
        <f t="shared" si="531"/>
        <v>Broken Wire (# Broken Subconductors)</v>
      </c>
      <c r="BB395" s="552">
        <f t="shared" si="532"/>
        <v>4</v>
      </c>
      <c r="BC395" s="554" t="str">
        <f t="shared" si="533"/>
        <v>14:1:Back</v>
      </c>
      <c r="BD395" s="554" t="str">
        <f t="shared" si="534"/>
        <v>Broken Wire (# Broken Subconductors)</v>
      </c>
      <c r="BE395" s="552">
        <f t="shared" si="535"/>
        <v>4</v>
      </c>
      <c r="BF395" s="554" t="str">
        <f t="shared" si="549"/>
        <v>6:1:Back</v>
      </c>
      <c r="BG395" s="554" t="str">
        <f t="shared" si="537"/>
        <v>Broken Wire (# Broken Subconductors)</v>
      </c>
      <c r="BH395" s="552">
        <f t="shared" si="538"/>
        <v>4</v>
      </c>
      <c r="BI395" s="554" t="str">
        <f t="shared" si="539"/>
        <v>16:1:Back</v>
      </c>
      <c r="BJ395" s="554" t="str">
        <f t="shared" si="540"/>
        <v>Broken Wire (# Broken Subconductors)</v>
      </c>
      <c r="BK395" s="552">
        <f t="shared" si="541"/>
        <v>4</v>
      </c>
      <c r="BL395" s="554" t="str">
        <f t="shared" si="542"/>
        <v/>
      </c>
      <c r="BM395" s="554" t="str">
        <f t="shared" si="543"/>
        <v/>
      </c>
      <c r="BN395" s="552" t="str">
        <f t="shared" si="544"/>
        <v/>
      </c>
      <c r="BO395" s="554" t="str">
        <f t="shared" si="545"/>
        <v/>
      </c>
      <c r="BP395" s="554" t="str">
        <f t="shared" si="546"/>
        <v/>
      </c>
      <c r="BQ395" s="552" t="str">
        <f t="shared" si="547"/>
        <v/>
      </c>
      <c r="BR395" s="554"/>
      <c r="BS395" s="554"/>
      <c r="BT395" s="554"/>
      <c r="BU395" s="554"/>
      <c r="BV395" s="554"/>
      <c r="BW395" s="554"/>
      <c r="BX395" s="554"/>
      <c r="BY395" s="554"/>
      <c r="BZ395" s="554"/>
      <c r="CA395" s="554"/>
      <c r="CB395" s="554"/>
      <c r="CC395" s="554"/>
      <c r="CD395" s="554"/>
      <c r="CE395" s="554"/>
      <c r="CF395" s="554"/>
      <c r="CG395" s="554"/>
      <c r="CH395" s="554"/>
      <c r="CI395" s="554"/>
      <c r="CJ395" s="554"/>
      <c r="CK395" s="554"/>
      <c r="CL395" s="554"/>
      <c r="CM395" s="554"/>
      <c r="CN395" s="554"/>
      <c r="CO395" s="554"/>
      <c r="CP395" s="554"/>
      <c r="CQ395" s="554"/>
      <c r="CR395" s="554"/>
      <c r="CS395" s="554"/>
      <c r="CT395" s="554"/>
      <c r="CU395" s="554"/>
      <c r="CV395" s="554"/>
      <c r="CW395" s="554"/>
      <c r="CX395" s="554"/>
      <c r="CY395" s="554"/>
      <c r="CZ395" s="554"/>
      <c r="DA395" s="554"/>
      <c r="DB395" s="554"/>
      <c r="DC395" s="554"/>
      <c r="DD395" s="554"/>
      <c r="DE395" s="534"/>
      <c r="DF395" s="534"/>
      <c r="DG395" s="534"/>
    </row>
    <row r="396" spans="1:111" ht="15" x14ac:dyDescent="0.25">
      <c r="A396" s="549">
        <f>IFERROR(IF(INDEX('Weather Cases'!$E$10:$E$94,MATCH('Load Criteria'!X396,'Weather Cases'!$H$10:$H$94,0),1)=1,1,"-"),"-")</f>
        <v>1</v>
      </c>
      <c r="B396" s="555" t="s">
        <v>558</v>
      </c>
      <c r="C396" s="556" t="str">
        <f>IF('Weather Cases'!$E$46=0,"","DC")</f>
        <v>DC</v>
      </c>
      <c r="D396" s="555" t="s">
        <v>579</v>
      </c>
      <c r="E396" s="556">
        <v>2</v>
      </c>
      <c r="F396" s="556" t="s">
        <v>22</v>
      </c>
      <c r="G396" s="556" t="str">
        <f>IFERROR(IF(MID('Load Criteria'!X396,FIND("_",'Load Criteria'!X396,1)+1,1)=LEFT(Control!$D$23,1),"YES","-"),"-")</f>
        <v>-</v>
      </c>
      <c r="H396" s="549" t="str">
        <f>IF(INDEX('Weather Cases'!$G$10:$G$94,MATCH('Load Criteria'!X396,'Weather Cases'!$H$10:$H$94,0),1)="H","YES","")</f>
        <v>YES</v>
      </c>
      <c r="I396" s="557" t="s">
        <v>333</v>
      </c>
      <c r="J396" s="550">
        <f>Control!$D$25</f>
        <v>1</v>
      </c>
      <c r="K396" s="508" t="s">
        <v>571</v>
      </c>
      <c r="L396" s="508" t="s">
        <v>40</v>
      </c>
      <c r="M396" s="550">
        <v>5</v>
      </c>
      <c r="N396" s="550">
        <v>6</v>
      </c>
      <c r="O396" s="550"/>
      <c r="P396" s="392"/>
      <c r="Q396" s="392"/>
      <c r="R396" s="392"/>
      <c r="S396" s="392"/>
      <c r="T396" s="392"/>
      <c r="U396" s="255" t="s">
        <v>568</v>
      </c>
      <c r="V396" s="551"/>
      <c r="W396" s="542" t="str">
        <f t="shared" si="548"/>
        <v>RI0001_8+TB56 NA+</v>
      </c>
      <c r="X396" s="552" t="str">
        <f>I396&amp;TEXT(J396,"0000")&amp;"_"&amp;LEFT(Control!$D$22,LEN(Control!$D$22)-2)</f>
        <v>RI0001_8</v>
      </c>
      <c r="Y396" s="552" t="s">
        <v>433</v>
      </c>
      <c r="Z396" s="552" t="str">
        <f t="shared" si="529"/>
        <v>NA+</v>
      </c>
      <c r="AA396" s="552"/>
      <c r="AB396" s="552">
        <v>1</v>
      </c>
      <c r="AC396" s="552">
        <v>1</v>
      </c>
      <c r="AD396" s="552">
        <v>1</v>
      </c>
      <c r="AE396" s="552">
        <v>1</v>
      </c>
      <c r="AF396" s="552">
        <v>1</v>
      </c>
      <c r="AG396" s="542" t="s">
        <v>561</v>
      </c>
      <c r="AH396" s="552">
        <v>0</v>
      </c>
      <c r="AI396" s="552">
        <v>0</v>
      </c>
      <c r="AJ396" s="552">
        <v>1</v>
      </c>
      <c r="AK396" s="552">
        <v>1</v>
      </c>
      <c r="AL396" s="552">
        <v>1</v>
      </c>
      <c r="AM396" s="552">
        <v>0</v>
      </c>
      <c r="AN396" s="552">
        <v>0</v>
      </c>
      <c r="AO396" s="552">
        <v>1</v>
      </c>
      <c r="AP396" s="552">
        <v>1</v>
      </c>
      <c r="AQ396" s="552">
        <v>1</v>
      </c>
      <c r="AR396" s="552">
        <v>1</v>
      </c>
      <c r="AS396" s="552">
        <v>1</v>
      </c>
      <c r="AT396" s="552">
        <v>1</v>
      </c>
      <c r="AU396" s="552">
        <v>1</v>
      </c>
      <c r="AV396" s="553" t="str">
        <f>IF(H396="YES",IF($AV$2="Y","'"&amp;INDEX('Structure Groups'!$C$12:$C$14,MATCH($B$5,'Structure Groups'!$B$12:$B$14,0),1)&amp;"'","'"&amp;INDEX('Structure Groups'!$C$16:$C$18,MATCH($B$5,'Structure Groups'!$B$16:$B$18,0),1)&amp;"'"),IF($AV$2="Y","'All'","'Stop'"))</f>
        <v>'Stop GL Max 800m'</v>
      </c>
      <c r="AW396" s="552" t="s">
        <v>562</v>
      </c>
      <c r="AX396" s="552"/>
      <c r="AY396" s="552" t="str">
        <f t="shared" si="550"/>
        <v>Yes</v>
      </c>
      <c r="AZ396" s="554" t="str">
        <f t="shared" si="530"/>
        <v>5:1:Back</v>
      </c>
      <c r="BA396" s="554" t="str">
        <f t="shared" si="531"/>
        <v>Broken Wire (# Broken Subconductors)</v>
      </c>
      <c r="BB396" s="552">
        <f t="shared" si="532"/>
        <v>4</v>
      </c>
      <c r="BC396" s="554" t="str">
        <f t="shared" si="533"/>
        <v>15:1:Back</v>
      </c>
      <c r="BD396" s="554" t="str">
        <f t="shared" si="534"/>
        <v>Broken Wire (# Broken Subconductors)</v>
      </c>
      <c r="BE396" s="552">
        <f t="shared" si="535"/>
        <v>4</v>
      </c>
      <c r="BF396" s="554" t="str">
        <f t="shared" si="549"/>
        <v>6:1:Back</v>
      </c>
      <c r="BG396" s="554" t="str">
        <f t="shared" si="537"/>
        <v>Broken Wire (# Broken Subconductors)</v>
      </c>
      <c r="BH396" s="552">
        <f t="shared" si="538"/>
        <v>4</v>
      </c>
      <c r="BI396" s="554" t="str">
        <f t="shared" si="539"/>
        <v>16:1:Back</v>
      </c>
      <c r="BJ396" s="554" t="str">
        <f t="shared" si="540"/>
        <v>Broken Wire (# Broken Subconductors)</v>
      </c>
      <c r="BK396" s="552">
        <f t="shared" si="541"/>
        <v>4</v>
      </c>
      <c r="BL396" s="554" t="str">
        <f t="shared" si="542"/>
        <v/>
      </c>
      <c r="BM396" s="554" t="str">
        <f t="shared" si="543"/>
        <v/>
      </c>
      <c r="BN396" s="552" t="str">
        <f t="shared" si="544"/>
        <v/>
      </c>
      <c r="BO396" s="554" t="str">
        <f t="shared" si="545"/>
        <v/>
      </c>
      <c r="BP396" s="554" t="str">
        <f t="shared" si="546"/>
        <v/>
      </c>
      <c r="BQ396" s="552" t="str">
        <f t="shared" si="547"/>
        <v/>
      </c>
      <c r="BR396" s="554"/>
      <c r="BS396" s="554"/>
      <c r="BT396" s="554"/>
      <c r="BU396" s="554"/>
      <c r="BV396" s="554"/>
      <c r="BW396" s="554"/>
      <c r="BX396" s="554"/>
      <c r="BY396" s="554"/>
      <c r="BZ396" s="554"/>
      <c r="CA396" s="554"/>
      <c r="CB396" s="554"/>
      <c r="CC396" s="554"/>
      <c r="CD396" s="554"/>
      <c r="CE396" s="554"/>
      <c r="CF396" s="554"/>
      <c r="CG396" s="554"/>
      <c r="CH396" s="554"/>
      <c r="CI396" s="554"/>
      <c r="CJ396" s="554"/>
      <c r="CK396" s="554"/>
      <c r="CL396" s="554"/>
      <c r="CM396" s="554"/>
      <c r="CN396" s="554"/>
      <c r="CO396" s="554"/>
      <c r="CP396" s="554"/>
      <c r="CQ396" s="554"/>
      <c r="CR396" s="554"/>
      <c r="CS396" s="554"/>
      <c r="CT396" s="554"/>
      <c r="CU396" s="554"/>
      <c r="CV396" s="554"/>
      <c r="CW396" s="554"/>
      <c r="CX396" s="554"/>
      <c r="CY396" s="554"/>
      <c r="CZ396" s="554"/>
      <c r="DA396" s="554"/>
      <c r="DB396" s="554"/>
      <c r="DC396" s="554"/>
      <c r="DD396" s="554"/>
      <c r="DE396" s="534"/>
      <c r="DF396" s="534"/>
      <c r="DG396" s="534"/>
    </row>
    <row r="397" spans="1:111" ht="15" x14ac:dyDescent="0.25">
      <c r="A397" s="549">
        <f>IFERROR(IF(INDEX('Weather Cases'!$E$10:$E$94,MATCH('Load Criteria'!X397,'Weather Cases'!$H$10:$H$94,0),1)=1,1,"-"),"-")</f>
        <v>1</v>
      </c>
      <c r="B397" s="555" t="s">
        <v>558</v>
      </c>
      <c r="C397" s="556" t="str">
        <f>IF('Weather Cases'!$E$46=0,"","DC")</f>
        <v>DC</v>
      </c>
      <c r="D397" s="555" t="s">
        <v>579</v>
      </c>
      <c r="E397" s="556">
        <v>2</v>
      </c>
      <c r="F397" s="555" t="s">
        <v>581</v>
      </c>
      <c r="G397" s="556" t="str">
        <f>IFERROR(IF(MID('Load Criteria'!X397,FIND("_",'Load Criteria'!X397,1)+1,1)=LEFT(Control!$D$23,1),"YES","-"),"-")</f>
        <v>-</v>
      </c>
      <c r="H397" s="549" t="str">
        <f>IF(INDEX('Weather Cases'!$G$10:$G$94,MATCH('Load Criteria'!X397,'Weather Cases'!$H$10:$H$94,0),1)="H","YES","")</f>
        <v>YES</v>
      </c>
      <c r="I397" s="557" t="s">
        <v>333</v>
      </c>
      <c r="J397" s="550">
        <f>Control!$D$25</f>
        <v>1</v>
      </c>
      <c r="K397" s="508" t="s">
        <v>571</v>
      </c>
      <c r="L397" s="508" t="s">
        <v>40</v>
      </c>
      <c r="M397" s="550">
        <v>6</v>
      </c>
      <c r="N397" s="550">
        <v>8</v>
      </c>
      <c r="O397" s="550"/>
      <c r="P397" s="392"/>
      <c r="Q397" s="392"/>
      <c r="R397" s="392"/>
      <c r="S397" s="392"/>
      <c r="T397" s="392"/>
      <c r="U397" s="255" t="s">
        <v>568</v>
      </c>
      <c r="V397" s="551"/>
      <c r="W397" s="542" t="str">
        <f t="shared" si="548"/>
        <v>RI0001_8+TB68 NA+</v>
      </c>
      <c r="X397" s="552" t="str">
        <f>I397&amp;TEXT(J397,"0000")&amp;"_"&amp;LEFT(Control!$D$22,LEN(Control!$D$22)-2)</f>
        <v>RI0001_8</v>
      </c>
      <c r="Y397" s="552" t="s">
        <v>433</v>
      </c>
      <c r="Z397" s="552" t="str">
        <f t="shared" si="529"/>
        <v>NA+</v>
      </c>
      <c r="AA397" s="552"/>
      <c r="AB397" s="552">
        <v>1</v>
      </c>
      <c r="AC397" s="552">
        <v>1</v>
      </c>
      <c r="AD397" s="552">
        <v>1</v>
      </c>
      <c r="AE397" s="552">
        <v>1</v>
      </c>
      <c r="AF397" s="552">
        <v>1</v>
      </c>
      <c r="AG397" s="542" t="s">
        <v>561</v>
      </c>
      <c r="AH397" s="552">
        <v>0</v>
      </c>
      <c r="AI397" s="552">
        <v>0</v>
      </c>
      <c r="AJ397" s="552">
        <v>1</v>
      </c>
      <c r="AK397" s="552">
        <v>1</v>
      </c>
      <c r="AL397" s="552">
        <v>1</v>
      </c>
      <c r="AM397" s="552">
        <v>0</v>
      </c>
      <c r="AN397" s="552">
        <v>0</v>
      </c>
      <c r="AO397" s="552">
        <v>1</v>
      </c>
      <c r="AP397" s="552">
        <v>1</v>
      </c>
      <c r="AQ397" s="552">
        <v>1</v>
      </c>
      <c r="AR397" s="552">
        <v>1</v>
      </c>
      <c r="AS397" s="552">
        <v>1</v>
      </c>
      <c r="AT397" s="552">
        <v>1</v>
      </c>
      <c r="AU397" s="552">
        <v>1</v>
      </c>
      <c r="AV397" s="553" t="str">
        <f>IF(H397="YES",IF($AV$2="Y","'"&amp;INDEX('Structure Groups'!$C$12:$C$14,MATCH($B$5,'Structure Groups'!$B$12:$B$14,0),1)&amp;"'","'"&amp;INDEX('Structure Groups'!$C$16:$C$18,MATCH($B$5,'Structure Groups'!$B$16:$B$18,0),1)&amp;"'"),IF($AV$2="Y","'All'","'Stop'"))</f>
        <v>'Stop GL Max 800m'</v>
      </c>
      <c r="AW397" s="552" t="s">
        <v>562</v>
      </c>
      <c r="AX397" s="552"/>
      <c r="AY397" s="552" t="str">
        <f t="shared" si="550"/>
        <v>Yes</v>
      </c>
      <c r="AZ397" s="554" t="str">
        <f t="shared" si="530"/>
        <v>6:1:Back</v>
      </c>
      <c r="BA397" s="554" t="str">
        <f t="shared" si="531"/>
        <v>Broken Wire (# Broken Subconductors)</v>
      </c>
      <c r="BB397" s="552">
        <f t="shared" si="532"/>
        <v>4</v>
      </c>
      <c r="BC397" s="554" t="str">
        <f t="shared" si="533"/>
        <v>16:1:Back</v>
      </c>
      <c r="BD397" s="554" t="str">
        <f t="shared" si="534"/>
        <v>Broken Wire (# Broken Subconductors)</v>
      </c>
      <c r="BE397" s="552">
        <f t="shared" si="535"/>
        <v>4</v>
      </c>
      <c r="BF397" s="554" t="str">
        <f t="shared" si="549"/>
        <v>8:1:Back</v>
      </c>
      <c r="BG397" s="554" t="str">
        <f t="shared" si="537"/>
        <v>Broken Wire (# Broken Subconductors)</v>
      </c>
      <c r="BH397" s="552">
        <f t="shared" si="538"/>
        <v>4</v>
      </c>
      <c r="BI397" s="554" t="str">
        <f t="shared" si="539"/>
        <v>18:1:Back</v>
      </c>
      <c r="BJ397" s="554" t="str">
        <f t="shared" si="540"/>
        <v>Broken Wire (# Broken Subconductors)</v>
      </c>
      <c r="BK397" s="552">
        <f t="shared" si="541"/>
        <v>4</v>
      </c>
      <c r="BL397" s="554" t="str">
        <f t="shared" si="542"/>
        <v/>
      </c>
      <c r="BM397" s="554" t="str">
        <f t="shared" si="543"/>
        <v/>
      </c>
      <c r="BN397" s="552" t="str">
        <f t="shared" si="544"/>
        <v/>
      </c>
      <c r="BO397" s="554" t="str">
        <f t="shared" si="545"/>
        <v/>
      </c>
      <c r="BP397" s="554" t="str">
        <f t="shared" si="546"/>
        <v/>
      </c>
      <c r="BQ397" s="552" t="str">
        <f t="shared" si="547"/>
        <v/>
      </c>
      <c r="BR397" s="554"/>
      <c r="BS397" s="554"/>
      <c r="BT397" s="554"/>
      <c r="BU397" s="554"/>
      <c r="BV397" s="554"/>
      <c r="BW397" s="554"/>
      <c r="BX397" s="554"/>
      <c r="BY397" s="554"/>
      <c r="BZ397" s="554"/>
      <c r="CA397" s="554"/>
      <c r="CB397" s="554"/>
      <c r="CC397" s="554"/>
      <c r="CD397" s="554"/>
      <c r="CE397" s="554"/>
      <c r="CF397" s="554"/>
      <c r="CG397" s="554"/>
      <c r="CH397" s="554"/>
      <c r="CI397" s="554"/>
      <c r="CJ397" s="554"/>
      <c r="CK397" s="554"/>
      <c r="CL397" s="554"/>
      <c r="CM397" s="554"/>
      <c r="CN397" s="554"/>
      <c r="CO397" s="554"/>
      <c r="CP397" s="554"/>
      <c r="CQ397" s="554"/>
      <c r="CR397" s="554"/>
      <c r="CS397" s="554"/>
      <c r="CT397" s="554"/>
      <c r="CU397" s="554"/>
      <c r="CV397" s="554"/>
      <c r="CW397" s="554"/>
      <c r="CX397" s="554"/>
      <c r="CY397" s="554"/>
      <c r="CZ397" s="554"/>
      <c r="DA397" s="554"/>
      <c r="DB397" s="554"/>
      <c r="DC397" s="554"/>
      <c r="DD397" s="554"/>
      <c r="DE397" s="534"/>
      <c r="DF397" s="534"/>
      <c r="DG397" s="534"/>
    </row>
    <row r="398" spans="1:111" ht="15" x14ac:dyDescent="0.25">
      <c r="A398" s="549">
        <f>IFERROR(IF(INDEX('Weather Cases'!$E$10:$E$94,MATCH('Load Criteria'!X398,'Weather Cases'!$H$10:$H$94,0),1)=1,1,"-"),"-")</f>
        <v>1</v>
      </c>
      <c r="B398" s="555" t="s">
        <v>558</v>
      </c>
      <c r="C398" s="556" t="str">
        <f>IF('Weather Cases'!$E$46=0,"","DC")</f>
        <v>DC</v>
      </c>
      <c r="D398" s="555" t="s">
        <v>579</v>
      </c>
      <c r="E398" s="556">
        <v>2</v>
      </c>
      <c r="F398" s="556" t="s">
        <v>22</v>
      </c>
      <c r="G398" s="556" t="str">
        <f>IFERROR(IF(MID('Load Criteria'!X398,FIND("_",'Load Criteria'!X398,1)+1,1)=LEFT(Control!$D$23,1),"YES","-"),"-")</f>
        <v>-</v>
      </c>
      <c r="H398" s="549" t="str">
        <f>IF(INDEX('Weather Cases'!$G$10:$G$94,MATCH('Load Criteria'!X398,'Weather Cases'!$H$10:$H$94,0),1)="H","YES","")</f>
        <v>YES</v>
      </c>
      <c r="I398" s="557" t="s">
        <v>333</v>
      </c>
      <c r="J398" s="550">
        <f>Control!$D$25</f>
        <v>1</v>
      </c>
      <c r="K398" s="508" t="s">
        <v>571</v>
      </c>
      <c r="L398" s="508" t="s">
        <v>24</v>
      </c>
      <c r="M398" s="550">
        <v>1</v>
      </c>
      <c r="N398" s="550">
        <v>2</v>
      </c>
      <c r="O398" s="550"/>
      <c r="P398" s="392"/>
      <c r="Q398" s="392"/>
      <c r="R398" s="392"/>
      <c r="S398" s="392"/>
      <c r="T398" s="392"/>
      <c r="U398" s="255" t="s">
        <v>574</v>
      </c>
      <c r="V398" s="551"/>
      <c r="W398" s="542" t="str">
        <f t="shared" si="548"/>
        <v>RI0001_8+TA12 NA-</v>
      </c>
      <c r="X398" s="552" t="str">
        <f>I398&amp;TEXT(J398,"0000")&amp;"_"&amp;LEFT(Control!$D$22,LEN(Control!$D$22)-2)</f>
        <v>RI0001_8</v>
      </c>
      <c r="Y398" s="552" t="s">
        <v>433</v>
      </c>
      <c r="Z398" s="552" t="str">
        <f t="shared" si="529"/>
        <v>NA-</v>
      </c>
      <c r="AA398" s="552"/>
      <c r="AB398" s="552">
        <v>1</v>
      </c>
      <c r="AC398" s="552">
        <v>1</v>
      </c>
      <c r="AD398" s="552">
        <v>1</v>
      </c>
      <c r="AE398" s="552">
        <v>1</v>
      </c>
      <c r="AF398" s="552">
        <v>1</v>
      </c>
      <c r="AG398" s="542" t="s">
        <v>561</v>
      </c>
      <c r="AH398" s="552">
        <v>0</v>
      </c>
      <c r="AI398" s="552">
        <v>0</v>
      </c>
      <c r="AJ398" s="552">
        <v>1</v>
      </c>
      <c r="AK398" s="552">
        <v>1</v>
      </c>
      <c r="AL398" s="552">
        <v>1</v>
      </c>
      <c r="AM398" s="552">
        <v>0</v>
      </c>
      <c r="AN398" s="552">
        <v>0</v>
      </c>
      <c r="AO398" s="552">
        <v>1</v>
      </c>
      <c r="AP398" s="552">
        <v>1</v>
      </c>
      <c r="AQ398" s="552">
        <v>1</v>
      </c>
      <c r="AR398" s="552">
        <v>1</v>
      </c>
      <c r="AS398" s="552">
        <v>1</v>
      </c>
      <c r="AT398" s="552">
        <v>1</v>
      </c>
      <c r="AU398" s="552">
        <v>1</v>
      </c>
      <c r="AV398" s="553" t="str">
        <f>IF(H398="YES",IF($AV$2="Y","'"&amp;INDEX('Structure Groups'!$C$12:$C$14,MATCH($B$5,'Structure Groups'!$B$12:$B$14,0),1)&amp;"'","'"&amp;INDEX('Structure Groups'!$C$16:$C$18,MATCH($B$5,'Structure Groups'!$B$16:$B$18,0),1)&amp;"'"),IF($AV$2="Y","'All'","'Stop'"))</f>
        <v>'Stop GL Max 800m'</v>
      </c>
      <c r="AW398" s="552" t="s">
        <v>562</v>
      </c>
      <c r="AX398" s="552"/>
      <c r="AY398" s="552" t="str">
        <f t="shared" si="550"/>
        <v>Yes</v>
      </c>
      <c r="AZ398" s="554" t="str">
        <f t="shared" si="530"/>
        <v>1:1:Ahead</v>
      </c>
      <c r="BA398" s="554" t="str">
        <f t="shared" si="531"/>
        <v>Broken Wire (# Broken Subconductors)</v>
      </c>
      <c r="BB398" s="552">
        <f t="shared" si="532"/>
        <v>4</v>
      </c>
      <c r="BC398" s="554" t="str">
        <f t="shared" si="533"/>
        <v>11:1:Ahead</v>
      </c>
      <c r="BD398" s="554" t="str">
        <f t="shared" si="534"/>
        <v>Broken Wire (# Broken Subconductors)</v>
      </c>
      <c r="BE398" s="552">
        <f t="shared" si="535"/>
        <v>4</v>
      </c>
      <c r="BF398" s="554" t="str">
        <f t="shared" si="549"/>
        <v>2:1:Ahead</v>
      </c>
      <c r="BG398" s="554" t="str">
        <f t="shared" si="537"/>
        <v>Broken Wire (# Broken Subconductors)</v>
      </c>
      <c r="BH398" s="552">
        <f t="shared" si="538"/>
        <v>4</v>
      </c>
      <c r="BI398" s="554" t="str">
        <f t="shared" si="539"/>
        <v>12:1:Ahead</v>
      </c>
      <c r="BJ398" s="554" t="str">
        <f t="shared" si="540"/>
        <v>Broken Wire (# Broken Subconductors)</v>
      </c>
      <c r="BK398" s="552">
        <f t="shared" si="541"/>
        <v>4</v>
      </c>
      <c r="BL398" s="554" t="str">
        <f t="shared" si="542"/>
        <v/>
      </c>
      <c r="BM398" s="554" t="str">
        <f t="shared" si="543"/>
        <v/>
      </c>
      <c r="BN398" s="552" t="str">
        <f t="shared" si="544"/>
        <v/>
      </c>
      <c r="BO398" s="554" t="str">
        <f t="shared" si="545"/>
        <v/>
      </c>
      <c r="BP398" s="554" t="str">
        <f t="shared" si="546"/>
        <v/>
      </c>
      <c r="BQ398" s="552" t="str">
        <f t="shared" si="547"/>
        <v/>
      </c>
      <c r="BR398" s="554"/>
      <c r="BS398" s="554"/>
      <c r="BT398" s="554"/>
      <c r="BU398" s="554"/>
      <c r="BV398" s="554"/>
      <c r="BW398" s="554"/>
      <c r="BX398" s="554"/>
      <c r="BY398" s="554"/>
      <c r="BZ398" s="554"/>
      <c r="CA398" s="554"/>
      <c r="CB398" s="554"/>
      <c r="CC398" s="554"/>
      <c r="CD398" s="554"/>
      <c r="CE398" s="554"/>
      <c r="CF398" s="554"/>
      <c r="CG398" s="554"/>
      <c r="CH398" s="554"/>
      <c r="CI398" s="554"/>
      <c r="CJ398" s="554"/>
      <c r="CK398" s="554"/>
      <c r="CL398" s="554"/>
      <c r="CM398" s="554"/>
      <c r="CN398" s="554"/>
      <c r="CO398" s="554"/>
      <c r="CP398" s="554"/>
      <c r="CQ398" s="554"/>
      <c r="CR398" s="554"/>
      <c r="CS398" s="554"/>
      <c r="CT398" s="554"/>
      <c r="CU398" s="554"/>
      <c r="CV398" s="554"/>
      <c r="CW398" s="554"/>
      <c r="CX398" s="554"/>
      <c r="CY398" s="554"/>
      <c r="CZ398" s="554"/>
      <c r="DA398" s="554"/>
      <c r="DB398" s="554"/>
      <c r="DC398" s="554"/>
      <c r="DD398" s="554"/>
      <c r="DE398" s="534"/>
      <c r="DF398" s="534"/>
      <c r="DG398" s="534"/>
    </row>
    <row r="399" spans="1:111" ht="15" x14ac:dyDescent="0.25">
      <c r="A399" s="549">
        <f>IFERROR(IF(INDEX('Weather Cases'!$E$10:$E$94,MATCH('Load Criteria'!X399,'Weather Cases'!$H$10:$H$94,0),1)=1,1,"-"),"-")</f>
        <v>1</v>
      </c>
      <c r="B399" s="555" t="s">
        <v>558</v>
      </c>
      <c r="C399" s="556" t="str">
        <f>IF('Weather Cases'!$E$46=0,"","DC")</f>
        <v>DC</v>
      </c>
      <c r="D399" s="555" t="s">
        <v>579</v>
      </c>
      <c r="E399" s="556">
        <v>2</v>
      </c>
      <c r="F399" s="556" t="s">
        <v>22</v>
      </c>
      <c r="G399" s="556" t="str">
        <f>IFERROR(IF(MID('Load Criteria'!X399,FIND("_",'Load Criteria'!X399,1)+1,1)=LEFT(Control!$D$23,1),"YES","-"),"-")</f>
        <v>-</v>
      </c>
      <c r="H399" s="549" t="str">
        <f>IF(INDEX('Weather Cases'!$G$10:$G$94,MATCH('Load Criteria'!X399,'Weather Cases'!$H$10:$H$94,0),1)="H","YES","")</f>
        <v>YES</v>
      </c>
      <c r="I399" s="557" t="s">
        <v>333</v>
      </c>
      <c r="J399" s="550">
        <f>Control!$D$25</f>
        <v>1</v>
      </c>
      <c r="K399" s="508" t="s">
        <v>571</v>
      </c>
      <c r="L399" s="508" t="s">
        <v>24</v>
      </c>
      <c r="M399" s="550">
        <v>2</v>
      </c>
      <c r="N399" s="550">
        <v>3</v>
      </c>
      <c r="O399" s="550"/>
      <c r="P399" s="392"/>
      <c r="Q399" s="392"/>
      <c r="R399" s="392"/>
      <c r="S399" s="392"/>
      <c r="T399" s="392"/>
      <c r="U399" s="255" t="s">
        <v>574</v>
      </c>
      <c r="V399" s="551"/>
      <c r="W399" s="542" t="str">
        <f t="shared" si="548"/>
        <v>RI0001_8+TA23 NA-</v>
      </c>
      <c r="X399" s="552" t="str">
        <f>I399&amp;TEXT(J399,"0000")&amp;"_"&amp;LEFT(Control!$D$22,LEN(Control!$D$22)-2)</f>
        <v>RI0001_8</v>
      </c>
      <c r="Y399" s="552" t="s">
        <v>433</v>
      </c>
      <c r="Z399" s="552" t="str">
        <f t="shared" si="529"/>
        <v>NA-</v>
      </c>
      <c r="AA399" s="552"/>
      <c r="AB399" s="552">
        <v>1</v>
      </c>
      <c r="AC399" s="552">
        <v>1</v>
      </c>
      <c r="AD399" s="552">
        <v>1</v>
      </c>
      <c r="AE399" s="552">
        <v>1</v>
      </c>
      <c r="AF399" s="552">
        <v>1</v>
      </c>
      <c r="AG399" s="542" t="s">
        <v>561</v>
      </c>
      <c r="AH399" s="552">
        <v>0</v>
      </c>
      <c r="AI399" s="552">
        <v>0</v>
      </c>
      <c r="AJ399" s="552">
        <v>1</v>
      </c>
      <c r="AK399" s="552">
        <v>1</v>
      </c>
      <c r="AL399" s="552">
        <v>1</v>
      </c>
      <c r="AM399" s="552">
        <v>0</v>
      </c>
      <c r="AN399" s="552">
        <v>0</v>
      </c>
      <c r="AO399" s="552">
        <v>1</v>
      </c>
      <c r="AP399" s="552">
        <v>1</v>
      </c>
      <c r="AQ399" s="552">
        <v>1</v>
      </c>
      <c r="AR399" s="552">
        <v>1</v>
      </c>
      <c r="AS399" s="552">
        <v>1</v>
      </c>
      <c r="AT399" s="552">
        <v>1</v>
      </c>
      <c r="AU399" s="552">
        <v>1</v>
      </c>
      <c r="AV399" s="553" t="str">
        <f>IF(H399="YES",IF($AV$2="Y","'"&amp;INDEX('Structure Groups'!$C$12:$C$14,MATCH($B$5,'Structure Groups'!$B$12:$B$14,0),1)&amp;"'","'"&amp;INDEX('Structure Groups'!$C$16:$C$18,MATCH($B$5,'Structure Groups'!$B$16:$B$18,0),1)&amp;"'"),IF($AV$2="Y","'All'","'Stop'"))</f>
        <v>'Stop GL Max 800m'</v>
      </c>
      <c r="AW399" s="552" t="s">
        <v>562</v>
      </c>
      <c r="AX399" s="552"/>
      <c r="AY399" s="552" t="str">
        <f t="shared" si="550"/>
        <v>Yes</v>
      </c>
      <c r="AZ399" s="554" t="str">
        <f t="shared" si="530"/>
        <v>2:1:Ahead</v>
      </c>
      <c r="BA399" s="554" t="str">
        <f t="shared" si="531"/>
        <v>Broken Wire (# Broken Subconductors)</v>
      </c>
      <c r="BB399" s="552">
        <f t="shared" si="532"/>
        <v>4</v>
      </c>
      <c r="BC399" s="554" t="str">
        <f t="shared" si="533"/>
        <v>12:1:Ahead</v>
      </c>
      <c r="BD399" s="554" t="str">
        <f t="shared" si="534"/>
        <v>Broken Wire (# Broken Subconductors)</v>
      </c>
      <c r="BE399" s="552">
        <f t="shared" si="535"/>
        <v>4</v>
      </c>
      <c r="BF399" s="554" t="str">
        <f t="shared" si="549"/>
        <v>3:1:Ahead</v>
      </c>
      <c r="BG399" s="554" t="str">
        <f t="shared" si="537"/>
        <v>Broken Wire (# Broken Subconductors)</v>
      </c>
      <c r="BH399" s="552">
        <f t="shared" si="538"/>
        <v>4</v>
      </c>
      <c r="BI399" s="554" t="str">
        <f t="shared" si="539"/>
        <v>13:1:Ahead</v>
      </c>
      <c r="BJ399" s="554" t="str">
        <f t="shared" si="540"/>
        <v>Broken Wire (# Broken Subconductors)</v>
      </c>
      <c r="BK399" s="552">
        <f t="shared" si="541"/>
        <v>4</v>
      </c>
      <c r="BL399" s="554" t="str">
        <f t="shared" si="542"/>
        <v/>
      </c>
      <c r="BM399" s="554" t="str">
        <f t="shared" si="543"/>
        <v/>
      </c>
      <c r="BN399" s="552" t="str">
        <f t="shared" si="544"/>
        <v/>
      </c>
      <c r="BO399" s="554" t="str">
        <f t="shared" si="545"/>
        <v/>
      </c>
      <c r="BP399" s="554" t="str">
        <f t="shared" si="546"/>
        <v/>
      </c>
      <c r="BQ399" s="552" t="str">
        <f t="shared" si="547"/>
        <v/>
      </c>
      <c r="BR399" s="554"/>
      <c r="BS399" s="554"/>
      <c r="BT399" s="554"/>
      <c r="BU399" s="554"/>
      <c r="BV399" s="554"/>
      <c r="BW399" s="554"/>
      <c r="BX399" s="554"/>
      <c r="BY399" s="554"/>
      <c r="BZ399" s="554"/>
      <c r="CA399" s="554"/>
      <c r="CB399" s="554"/>
      <c r="CC399" s="554"/>
      <c r="CD399" s="554"/>
      <c r="CE399" s="554"/>
      <c r="CF399" s="554"/>
      <c r="CG399" s="554"/>
      <c r="CH399" s="554"/>
      <c r="CI399" s="554"/>
      <c r="CJ399" s="554"/>
      <c r="CK399" s="554"/>
      <c r="CL399" s="554"/>
      <c r="CM399" s="554"/>
      <c r="CN399" s="554"/>
      <c r="CO399" s="554"/>
      <c r="CP399" s="554"/>
      <c r="CQ399" s="554"/>
      <c r="CR399" s="554"/>
      <c r="CS399" s="554"/>
      <c r="CT399" s="554"/>
      <c r="CU399" s="554"/>
      <c r="CV399" s="554"/>
      <c r="CW399" s="554"/>
      <c r="CX399" s="554"/>
      <c r="CY399" s="554"/>
      <c r="CZ399" s="554"/>
      <c r="DA399" s="554"/>
      <c r="DB399" s="554"/>
      <c r="DC399" s="554"/>
      <c r="DD399" s="554"/>
      <c r="DE399" s="534"/>
      <c r="DF399" s="534"/>
      <c r="DG399" s="534"/>
    </row>
    <row r="400" spans="1:111" ht="15" x14ac:dyDescent="0.25">
      <c r="A400" s="549">
        <f>IFERROR(IF(INDEX('Weather Cases'!$E$10:$E$94,MATCH('Load Criteria'!X400,'Weather Cases'!$H$10:$H$94,0),1)=1,1,"-"),"-")</f>
        <v>1</v>
      </c>
      <c r="B400" s="555" t="s">
        <v>558</v>
      </c>
      <c r="C400" s="556" t="str">
        <f>IF('Weather Cases'!$E$46=0,"","DC")</f>
        <v>DC</v>
      </c>
      <c r="D400" s="555" t="s">
        <v>579</v>
      </c>
      <c r="E400" s="556">
        <v>2</v>
      </c>
      <c r="F400" s="556" t="s">
        <v>22</v>
      </c>
      <c r="G400" s="556" t="str">
        <f>IFERROR(IF(MID('Load Criteria'!X400,FIND("_",'Load Criteria'!X400,1)+1,1)=LEFT(Control!$D$23,1),"YES","-"),"-")</f>
        <v>-</v>
      </c>
      <c r="H400" s="549" t="str">
        <f>IF(INDEX('Weather Cases'!$G$10:$G$94,MATCH('Load Criteria'!X400,'Weather Cases'!$H$10:$H$94,0),1)="H","YES","")</f>
        <v>YES</v>
      </c>
      <c r="I400" s="557" t="s">
        <v>333</v>
      </c>
      <c r="J400" s="550">
        <f>Control!$D$25</f>
        <v>1</v>
      </c>
      <c r="K400" s="508" t="s">
        <v>571</v>
      </c>
      <c r="L400" s="508" t="s">
        <v>24</v>
      </c>
      <c r="M400" s="550">
        <v>1</v>
      </c>
      <c r="N400" s="550">
        <v>3</v>
      </c>
      <c r="O400" s="550"/>
      <c r="P400" s="392"/>
      <c r="Q400" s="392"/>
      <c r="R400" s="392"/>
      <c r="S400" s="392"/>
      <c r="T400" s="392"/>
      <c r="U400" s="255" t="s">
        <v>574</v>
      </c>
      <c r="V400" s="551"/>
      <c r="W400" s="542" t="str">
        <f t="shared" si="548"/>
        <v>RI0001_8+TA13 NA-</v>
      </c>
      <c r="X400" s="552" t="str">
        <f>I400&amp;TEXT(J400,"0000")&amp;"_"&amp;LEFT(Control!$D$22,LEN(Control!$D$22)-2)</f>
        <v>RI0001_8</v>
      </c>
      <c r="Y400" s="552" t="s">
        <v>433</v>
      </c>
      <c r="Z400" s="552" t="str">
        <f t="shared" si="529"/>
        <v>NA-</v>
      </c>
      <c r="AA400" s="552"/>
      <c r="AB400" s="552">
        <v>1</v>
      </c>
      <c r="AC400" s="552">
        <v>1</v>
      </c>
      <c r="AD400" s="552">
        <v>1</v>
      </c>
      <c r="AE400" s="552">
        <v>1</v>
      </c>
      <c r="AF400" s="552">
        <v>1</v>
      </c>
      <c r="AG400" s="542" t="s">
        <v>561</v>
      </c>
      <c r="AH400" s="552">
        <v>0</v>
      </c>
      <c r="AI400" s="552">
        <v>0</v>
      </c>
      <c r="AJ400" s="552">
        <v>1</v>
      </c>
      <c r="AK400" s="552">
        <v>1</v>
      </c>
      <c r="AL400" s="552">
        <v>1</v>
      </c>
      <c r="AM400" s="552">
        <v>0</v>
      </c>
      <c r="AN400" s="552">
        <v>0</v>
      </c>
      <c r="AO400" s="552">
        <v>1</v>
      </c>
      <c r="AP400" s="552">
        <v>1</v>
      </c>
      <c r="AQ400" s="552">
        <v>1</v>
      </c>
      <c r="AR400" s="552">
        <v>1</v>
      </c>
      <c r="AS400" s="552">
        <v>1</v>
      </c>
      <c r="AT400" s="552">
        <v>1</v>
      </c>
      <c r="AU400" s="552">
        <v>1</v>
      </c>
      <c r="AV400" s="553" t="str">
        <f>IF(H400="YES",IF($AV$2="Y","'"&amp;INDEX('Structure Groups'!$C$12:$C$14,MATCH($B$5,'Structure Groups'!$B$12:$B$14,0),1)&amp;"'","'"&amp;INDEX('Structure Groups'!$C$16:$C$18,MATCH($B$5,'Structure Groups'!$B$16:$B$18,0),1)&amp;"'"),IF($AV$2="Y","'All'","'Stop'"))</f>
        <v>'Stop GL Max 800m'</v>
      </c>
      <c r="AW400" s="552" t="s">
        <v>562</v>
      </c>
      <c r="AX400" s="552"/>
      <c r="AY400" s="552" t="str">
        <f t="shared" si="550"/>
        <v>Yes</v>
      </c>
      <c r="AZ400" s="554" t="str">
        <f t="shared" si="530"/>
        <v>1:1:Ahead</v>
      </c>
      <c r="BA400" s="554" t="str">
        <f t="shared" si="531"/>
        <v>Broken Wire (# Broken Subconductors)</v>
      </c>
      <c r="BB400" s="552">
        <f t="shared" si="532"/>
        <v>4</v>
      </c>
      <c r="BC400" s="554" t="str">
        <f t="shared" si="533"/>
        <v>11:1:Ahead</v>
      </c>
      <c r="BD400" s="554" t="str">
        <f t="shared" si="534"/>
        <v>Broken Wire (# Broken Subconductors)</v>
      </c>
      <c r="BE400" s="552">
        <f t="shared" si="535"/>
        <v>4</v>
      </c>
      <c r="BF400" s="554" t="str">
        <f t="shared" si="549"/>
        <v>3:1:Ahead</v>
      </c>
      <c r="BG400" s="554" t="str">
        <f t="shared" si="537"/>
        <v>Broken Wire (# Broken Subconductors)</v>
      </c>
      <c r="BH400" s="552">
        <f t="shared" si="538"/>
        <v>4</v>
      </c>
      <c r="BI400" s="554" t="str">
        <f t="shared" si="539"/>
        <v>13:1:Ahead</v>
      </c>
      <c r="BJ400" s="554" t="str">
        <f t="shared" si="540"/>
        <v>Broken Wire (# Broken Subconductors)</v>
      </c>
      <c r="BK400" s="552">
        <f t="shared" si="541"/>
        <v>4</v>
      </c>
      <c r="BL400" s="554" t="str">
        <f t="shared" si="542"/>
        <v/>
      </c>
      <c r="BM400" s="554" t="str">
        <f t="shared" si="543"/>
        <v/>
      </c>
      <c r="BN400" s="552" t="str">
        <f t="shared" si="544"/>
        <v/>
      </c>
      <c r="BO400" s="554" t="str">
        <f t="shared" si="545"/>
        <v/>
      </c>
      <c r="BP400" s="554" t="str">
        <f t="shared" si="546"/>
        <v/>
      </c>
      <c r="BQ400" s="552" t="str">
        <f t="shared" si="547"/>
        <v/>
      </c>
      <c r="BR400" s="554"/>
      <c r="BS400" s="554"/>
      <c r="BT400" s="554"/>
      <c r="BU400" s="554"/>
      <c r="BV400" s="554"/>
      <c r="BW400" s="554"/>
      <c r="BX400" s="554"/>
      <c r="BY400" s="554"/>
      <c r="BZ400" s="554"/>
      <c r="CA400" s="554"/>
      <c r="CB400" s="554"/>
      <c r="CC400" s="554"/>
      <c r="CD400" s="554"/>
      <c r="CE400" s="554"/>
      <c r="CF400" s="554"/>
      <c r="CG400" s="554"/>
      <c r="CH400" s="554"/>
      <c r="CI400" s="554"/>
      <c r="CJ400" s="554"/>
      <c r="CK400" s="554"/>
      <c r="CL400" s="554"/>
      <c r="CM400" s="554"/>
      <c r="CN400" s="554"/>
      <c r="CO400" s="554"/>
      <c r="CP400" s="554"/>
      <c r="CQ400" s="554"/>
      <c r="CR400" s="554"/>
      <c r="CS400" s="554"/>
      <c r="CT400" s="554"/>
      <c r="CU400" s="554"/>
      <c r="CV400" s="554"/>
      <c r="CW400" s="554"/>
      <c r="CX400" s="554"/>
      <c r="CY400" s="554"/>
      <c r="CZ400" s="554"/>
      <c r="DA400" s="554"/>
      <c r="DB400" s="554"/>
      <c r="DC400" s="554"/>
      <c r="DD400" s="554"/>
      <c r="DE400" s="534"/>
      <c r="DF400" s="534"/>
      <c r="DG400" s="534"/>
    </row>
    <row r="401" spans="1:111" ht="15" x14ac:dyDescent="0.25">
      <c r="A401" s="549">
        <f>IFERROR(IF(INDEX('Weather Cases'!$E$10:$E$94,MATCH('Load Criteria'!X401,'Weather Cases'!$H$10:$H$94,0),1)=1,1,"-"),"-")</f>
        <v>1</v>
      </c>
      <c r="B401" s="555" t="s">
        <v>558</v>
      </c>
      <c r="C401" s="556" t="str">
        <f>IF('Weather Cases'!$E$46=0,"","DC")</f>
        <v>DC</v>
      </c>
      <c r="D401" s="555" t="s">
        <v>579</v>
      </c>
      <c r="E401" s="556">
        <v>2</v>
      </c>
      <c r="F401" s="555" t="s">
        <v>580</v>
      </c>
      <c r="G401" s="556" t="str">
        <f>IFERROR(IF(MID('Load Criteria'!X401,FIND("_",'Load Criteria'!X401,1)+1,1)=LEFT(Control!$D$23,1),"YES","-"),"-")</f>
        <v>-</v>
      </c>
      <c r="H401" s="549" t="str">
        <f>IF(INDEX('Weather Cases'!$G$10:$G$94,MATCH('Load Criteria'!X401,'Weather Cases'!$H$10:$H$94,0),1)="H","YES","")</f>
        <v>YES</v>
      </c>
      <c r="I401" s="557" t="s">
        <v>333</v>
      </c>
      <c r="J401" s="550">
        <f>Control!$D$25</f>
        <v>1</v>
      </c>
      <c r="K401" s="508" t="s">
        <v>571</v>
      </c>
      <c r="L401" s="508" t="s">
        <v>24</v>
      </c>
      <c r="M401" s="550">
        <v>3</v>
      </c>
      <c r="N401" s="550">
        <v>7</v>
      </c>
      <c r="O401" s="550"/>
      <c r="P401" s="392"/>
      <c r="Q401" s="392"/>
      <c r="R401" s="392"/>
      <c r="S401" s="392"/>
      <c r="T401" s="392"/>
      <c r="U401" s="255" t="s">
        <v>574</v>
      </c>
      <c r="V401" s="551"/>
      <c r="W401" s="542" t="str">
        <f t="shared" si="548"/>
        <v>RI0001_8+TA37 NA-</v>
      </c>
      <c r="X401" s="552" t="str">
        <f>I401&amp;TEXT(J401,"0000")&amp;"_"&amp;LEFT(Control!$D$22,LEN(Control!$D$22)-2)</f>
        <v>RI0001_8</v>
      </c>
      <c r="Y401" s="552" t="s">
        <v>433</v>
      </c>
      <c r="Z401" s="552" t="str">
        <f t="shared" si="529"/>
        <v>NA-</v>
      </c>
      <c r="AA401" s="552"/>
      <c r="AB401" s="552">
        <v>1</v>
      </c>
      <c r="AC401" s="552">
        <v>1</v>
      </c>
      <c r="AD401" s="552">
        <v>1</v>
      </c>
      <c r="AE401" s="552">
        <v>1</v>
      </c>
      <c r="AF401" s="552">
        <v>1</v>
      </c>
      <c r="AG401" s="542" t="s">
        <v>561</v>
      </c>
      <c r="AH401" s="552">
        <v>0</v>
      </c>
      <c r="AI401" s="552">
        <v>0</v>
      </c>
      <c r="AJ401" s="552">
        <v>1</v>
      </c>
      <c r="AK401" s="552">
        <v>1</v>
      </c>
      <c r="AL401" s="552">
        <v>1</v>
      </c>
      <c r="AM401" s="552">
        <v>0</v>
      </c>
      <c r="AN401" s="552">
        <v>0</v>
      </c>
      <c r="AO401" s="552">
        <v>1</v>
      </c>
      <c r="AP401" s="552">
        <v>1</v>
      </c>
      <c r="AQ401" s="552">
        <v>1</v>
      </c>
      <c r="AR401" s="552">
        <v>1</v>
      </c>
      <c r="AS401" s="552">
        <v>1</v>
      </c>
      <c r="AT401" s="552">
        <v>1</v>
      </c>
      <c r="AU401" s="552">
        <v>1</v>
      </c>
      <c r="AV401" s="553" t="str">
        <f>IF(H401="YES",IF($AV$2="Y","'"&amp;INDEX('Structure Groups'!$C$12:$C$14,MATCH($B$5,'Structure Groups'!$B$12:$B$14,0),1)&amp;"'","'"&amp;INDEX('Structure Groups'!$C$16:$C$18,MATCH($B$5,'Structure Groups'!$B$16:$B$18,0),1)&amp;"'"),IF($AV$2="Y","'All'","'Stop'"))</f>
        <v>'Stop GL Max 800m'</v>
      </c>
      <c r="AW401" s="552" t="s">
        <v>562</v>
      </c>
      <c r="AX401" s="552"/>
      <c r="AY401" s="552" t="str">
        <f t="shared" si="550"/>
        <v>Yes</v>
      </c>
      <c r="AZ401" s="554" t="str">
        <f t="shared" si="530"/>
        <v>3:1:Ahead</v>
      </c>
      <c r="BA401" s="554" t="str">
        <f t="shared" si="531"/>
        <v>Broken Wire (# Broken Subconductors)</v>
      </c>
      <c r="BB401" s="552">
        <f t="shared" si="532"/>
        <v>4</v>
      </c>
      <c r="BC401" s="554" t="str">
        <f t="shared" si="533"/>
        <v>13:1:Ahead</v>
      </c>
      <c r="BD401" s="554" t="str">
        <f t="shared" si="534"/>
        <v>Broken Wire (# Broken Subconductors)</v>
      </c>
      <c r="BE401" s="552">
        <f t="shared" si="535"/>
        <v>4</v>
      </c>
      <c r="BF401" s="554" t="str">
        <f t="shared" si="549"/>
        <v>7:1:Ahead</v>
      </c>
      <c r="BG401" s="554" t="str">
        <f t="shared" si="537"/>
        <v>Broken Wire (# Broken Subconductors)</v>
      </c>
      <c r="BH401" s="552">
        <f t="shared" si="538"/>
        <v>4</v>
      </c>
      <c r="BI401" s="554" t="str">
        <f t="shared" si="539"/>
        <v>17:1:Ahead</v>
      </c>
      <c r="BJ401" s="554" t="str">
        <f t="shared" si="540"/>
        <v>Broken Wire (# Broken Subconductors)</v>
      </c>
      <c r="BK401" s="552">
        <f t="shared" si="541"/>
        <v>4</v>
      </c>
      <c r="BL401" s="554" t="str">
        <f t="shared" si="542"/>
        <v/>
      </c>
      <c r="BM401" s="554" t="str">
        <f t="shared" si="543"/>
        <v/>
      </c>
      <c r="BN401" s="552" t="str">
        <f t="shared" si="544"/>
        <v/>
      </c>
      <c r="BO401" s="554" t="str">
        <f t="shared" si="545"/>
        <v/>
      </c>
      <c r="BP401" s="554" t="str">
        <f t="shared" si="546"/>
        <v/>
      </c>
      <c r="BQ401" s="552" t="str">
        <f t="shared" si="547"/>
        <v/>
      </c>
      <c r="BR401" s="554"/>
      <c r="BS401" s="554"/>
      <c r="BT401" s="554"/>
      <c r="BU401" s="554"/>
      <c r="BV401" s="554"/>
      <c r="BW401" s="554"/>
      <c r="BX401" s="554"/>
      <c r="BY401" s="554"/>
      <c r="BZ401" s="554"/>
      <c r="CA401" s="554"/>
      <c r="CB401" s="554"/>
      <c r="CC401" s="554"/>
      <c r="CD401" s="554"/>
      <c r="CE401" s="554"/>
      <c r="CF401" s="554"/>
      <c r="CG401" s="554"/>
      <c r="CH401" s="554"/>
      <c r="CI401" s="554"/>
      <c r="CJ401" s="554"/>
      <c r="CK401" s="554"/>
      <c r="CL401" s="554"/>
      <c r="CM401" s="554"/>
      <c r="CN401" s="554"/>
      <c r="CO401" s="554"/>
      <c r="CP401" s="554"/>
      <c r="CQ401" s="554"/>
      <c r="CR401" s="554"/>
      <c r="CS401" s="554"/>
      <c r="CT401" s="554"/>
      <c r="CU401" s="554"/>
      <c r="CV401" s="554"/>
      <c r="CW401" s="554"/>
      <c r="CX401" s="554"/>
      <c r="CY401" s="554"/>
      <c r="CZ401" s="554"/>
      <c r="DA401" s="554"/>
      <c r="DB401" s="554"/>
      <c r="DC401" s="554"/>
      <c r="DD401" s="554"/>
      <c r="DE401" s="534"/>
      <c r="DF401" s="534"/>
      <c r="DG401" s="534"/>
    </row>
    <row r="402" spans="1:111" ht="15" x14ac:dyDescent="0.25">
      <c r="A402" s="549">
        <f>IFERROR(IF(INDEX('Weather Cases'!$E$10:$E$94,MATCH('Load Criteria'!X402,'Weather Cases'!$H$10:$H$94,0),1)=1,1,"-"),"-")</f>
        <v>1</v>
      </c>
      <c r="B402" s="555" t="s">
        <v>558</v>
      </c>
      <c r="C402" s="556" t="str">
        <f>IF('Weather Cases'!$E$46=0,"","DC")</f>
        <v>DC</v>
      </c>
      <c r="D402" s="555" t="s">
        <v>579</v>
      </c>
      <c r="E402" s="556">
        <v>2</v>
      </c>
      <c r="F402" s="556" t="s">
        <v>22</v>
      </c>
      <c r="G402" s="556" t="str">
        <f>IFERROR(IF(MID('Load Criteria'!X402,FIND("_",'Load Criteria'!X402,1)+1,1)=LEFT(Control!$D$23,1),"YES","-"),"-")</f>
        <v>-</v>
      </c>
      <c r="H402" s="549" t="str">
        <f>IF(INDEX('Weather Cases'!$G$10:$G$94,MATCH('Load Criteria'!X402,'Weather Cases'!$H$10:$H$94,0),1)="H","YES","")</f>
        <v>YES</v>
      </c>
      <c r="I402" s="557" t="s">
        <v>333</v>
      </c>
      <c r="J402" s="550">
        <f>Control!$D$25</f>
        <v>1</v>
      </c>
      <c r="K402" s="508" t="s">
        <v>571</v>
      </c>
      <c r="L402" s="508" t="s">
        <v>24</v>
      </c>
      <c r="M402" s="550">
        <v>4</v>
      </c>
      <c r="N402" s="550">
        <v>5</v>
      </c>
      <c r="O402" s="550"/>
      <c r="P402" s="392"/>
      <c r="Q402" s="392"/>
      <c r="R402" s="392"/>
      <c r="S402" s="392"/>
      <c r="T402" s="392"/>
      <c r="U402" s="255" t="s">
        <v>574</v>
      </c>
      <c r="V402" s="551"/>
      <c r="W402" s="542" t="str">
        <f t="shared" si="548"/>
        <v>RI0001_8+TA45 NA-</v>
      </c>
      <c r="X402" s="552" t="str">
        <f>I402&amp;TEXT(J402,"0000")&amp;"_"&amp;LEFT(Control!$D$22,LEN(Control!$D$22)-2)</f>
        <v>RI0001_8</v>
      </c>
      <c r="Y402" s="552" t="s">
        <v>433</v>
      </c>
      <c r="Z402" s="552" t="str">
        <f t="shared" si="529"/>
        <v>NA-</v>
      </c>
      <c r="AA402" s="552"/>
      <c r="AB402" s="552">
        <v>1</v>
      </c>
      <c r="AC402" s="552">
        <v>1</v>
      </c>
      <c r="AD402" s="552">
        <v>1</v>
      </c>
      <c r="AE402" s="552">
        <v>1</v>
      </c>
      <c r="AF402" s="552">
        <v>1</v>
      </c>
      <c r="AG402" s="542" t="s">
        <v>561</v>
      </c>
      <c r="AH402" s="552">
        <v>0</v>
      </c>
      <c r="AI402" s="552">
        <v>0</v>
      </c>
      <c r="AJ402" s="552">
        <v>1</v>
      </c>
      <c r="AK402" s="552">
        <v>1</v>
      </c>
      <c r="AL402" s="552">
        <v>1</v>
      </c>
      <c r="AM402" s="552">
        <v>0</v>
      </c>
      <c r="AN402" s="552">
        <v>0</v>
      </c>
      <c r="AO402" s="552">
        <v>1</v>
      </c>
      <c r="AP402" s="552">
        <v>1</v>
      </c>
      <c r="AQ402" s="552">
        <v>1</v>
      </c>
      <c r="AR402" s="552">
        <v>1</v>
      </c>
      <c r="AS402" s="552">
        <v>1</v>
      </c>
      <c r="AT402" s="552">
        <v>1</v>
      </c>
      <c r="AU402" s="552">
        <v>1</v>
      </c>
      <c r="AV402" s="553" t="str">
        <f>IF(H402="YES",IF($AV$2="Y","'"&amp;INDEX('Structure Groups'!$C$12:$C$14,MATCH($B$5,'Structure Groups'!$B$12:$B$14,0),1)&amp;"'","'"&amp;INDEX('Structure Groups'!$C$16:$C$18,MATCH($B$5,'Structure Groups'!$B$16:$B$18,0),1)&amp;"'"),IF($AV$2="Y","'All'","'Stop'"))</f>
        <v>'Stop GL Max 800m'</v>
      </c>
      <c r="AW402" s="552" t="s">
        <v>562</v>
      </c>
      <c r="AX402" s="552"/>
      <c r="AY402" s="552" t="str">
        <f t="shared" si="550"/>
        <v>Yes</v>
      </c>
      <c r="AZ402" s="554" t="str">
        <f t="shared" si="530"/>
        <v>4:1:Ahead</v>
      </c>
      <c r="BA402" s="554" t="str">
        <f t="shared" si="531"/>
        <v>Broken Wire (# Broken Subconductors)</v>
      </c>
      <c r="BB402" s="552">
        <f t="shared" si="532"/>
        <v>4</v>
      </c>
      <c r="BC402" s="554" t="str">
        <f t="shared" si="533"/>
        <v>14:1:Ahead</v>
      </c>
      <c r="BD402" s="554" t="str">
        <f t="shared" si="534"/>
        <v>Broken Wire (# Broken Subconductors)</v>
      </c>
      <c r="BE402" s="552">
        <f t="shared" si="535"/>
        <v>4</v>
      </c>
      <c r="BF402" s="554" t="str">
        <f t="shared" si="549"/>
        <v>5:1:Ahead</v>
      </c>
      <c r="BG402" s="554" t="str">
        <f t="shared" si="537"/>
        <v>Broken Wire (# Broken Subconductors)</v>
      </c>
      <c r="BH402" s="552">
        <f t="shared" si="538"/>
        <v>4</v>
      </c>
      <c r="BI402" s="554" t="str">
        <f t="shared" si="539"/>
        <v>15:1:Ahead</v>
      </c>
      <c r="BJ402" s="554" t="str">
        <f t="shared" si="540"/>
        <v>Broken Wire (# Broken Subconductors)</v>
      </c>
      <c r="BK402" s="552">
        <f t="shared" si="541"/>
        <v>4</v>
      </c>
      <c r="BL402" s="554" t="str">
        <f t="shared" si="542"/>
        <v/>
      </c>
      <c r="BM402" s="554" t="str">
        <f t="shared" si="543"/>
        <v/>
      </c>
      <c r="BN402" s="552" t="str">
        <f t="shared" si="544"/>
        <v/>
      </c>
      <c r="BO402" s="554" t="str">
        <f t="shared" si="545"/>
        <v/>
      </c>
      <c r="BP402" s="554" t="str">
        <f t="shared" si="546"/>
        <v/>
      </c>
      <c r="BQ402" s="552" t="str">
        <f t="shared" si="547"/>
        <v/>
      </c>
      <c r="BR402" s="554"/>
      <c r="BS402" s="554"/>
      <c r="BT402" s="554"/>
      <c r="BU402" s="554"/>
      <c r="BV402" s="554"/>
      <c r="BW402" s="554"/>
      <c r="BX402" s="554"/>
      <c r="BY402" s="554"/>
      <c r="BZ402" s="554"/>
      <c r="CA402" s="554"/>
      <c r="CB402" s="554"/>
      <c r="CC402" s="554"/>
      <c r="CD402" s="554"/>
      <c r="CE402" s="554"/>
      <c r="CF402" s="554"/>
      <c r="CG402" s="554"/>
      <c r="CH402" s="554"/>
      <c r="CI402" s="554"/>
      <c r="CJ402" s="554"/>
      <c r="CK402" s="554"/>
      <c r="CL402" s="554"/>
      <c r="CM402" s="554"/>
      <c r="CN402" s="554"/>
      <c r="CO402" s="554"/>
      <c r="CP402" s="554"/>
      <c r="CQ402" s="554"/>
      <c r="CR402" s="554"/>
      <c r="CS402" s="554"/>
      <c r="CT402" s="554"/>
      <c r="CU402" s="554"/>
      <c r="CV402" s="554"/>
      <c r="CW402" s="554"/>
      <c r="CX402" s="554"/>
      <c r="CY402" s="554"/>
      <c r="CZ402" s="554"/>
      <c r="DA402" s="554"/>
      <c r="DB402" s="554"/>
      <c r="DC402" s="554"/>
      <c r="DD402" s="554"/>
      <c r="DE402" s="534"/>
      <c r="DF402" s="534"/>
      <c r="DG402" s="534"/>
    </row>
    <row r="403" spans="1:111" ht="15" x14ac:dyDescent="0.25">
      <c r="A403" s="549">
        <f>IFERROR(IF(INDEX('Weather Cases'!$E$10:$E$94,MATCH('Load Criteria'!X403,'Weather Cases'!$H$10:$H$94,0),1)=1,1,"-"),"-")</f>
        <v>1</v>
      </c>
      <c r="B403" s="555" t="s">
        <v>558</v>
      </c>
      <c r="C403" s="556" t="str">
        <f>IF('Weather Cases'!$E$46=0,"","DC")</f>
        <v>DC</v>
      </c>
      <c r="D403" s="555" t="s">
        <v>579</v>
      </c>
      <c r="E403" s="556">
        <v>2</v>
      </c>
      <c r="F403" s="556" t="s">
        <v>22</v>
      </c>
      <c r="G403" s="556" t="str">
        <f>IFERROR(IF(MID('Load Criteria'!X403,FIND("_",'Load Criteria'!X403,1)+1,1)=LEFT(Control!$D$23,1),"YES","-"),"-")</f>
        <v>-</v>
      </c>
      <c r="H403" s="549" t="str">
        <f>IF(INDEX('Weather Cases'!$G$10:$G$94,MATCH('Load Criteria'!X403,'Weather Cases'!$H$10:$H$94,0),1)="H","YES","")</f>
        <v>YES</v>
      </c>
      <c r="I403" s="557" t="s">
        <v>333</v>
      </c>
      <c r="J403" s="550">
        <f>Control!$D$25</f>
        <v>1</v>
      </c>
      <c r="K403" s="508" t="s">
        <v>571</v>
      </c>
      <c r="L403" s="508" t="s">
        <v>24</v>
      </c>
      <c r="M403" s="550">
        <v>4</v>
      </c>
      <c r="N403" s="550">
        <v>6</v>
      </c>
      <c r="O403" s="550"/>
      <c r="P403" s="392"/>
      <c r="Q403" s="392"/>
      <c r="R403" s="392"/>
      <c r="S403" s="392"/>
      <c r="T403" s="392"/>
      <c r="U403" s="255" t="s">
        <v>574</v>
      </c>
      <c r="V403" s="551"/>
      <c r="W403" s="542" t="str">
        <f t="shared" si="548"/>
        <v>RI0001_8+TA46 NA-</v>
      </c>
      <c r="X403" s="552" t="str">
        <f>I403&amp;TEXT(J403,"0000")&amp;"_"&amp;LEFT(Control!$D$22,LEN(Control!$D$22)-2)</f>
        <v>RI0001_8</v>
      </c>
      <c r="Y403" s="552" t="s">
        <v>433</v>
      </c>
      <c r="Z403" s="552" t="str">
        <f t="shared" si="529"/>
        <v>NA-</v>
      </c>
      <c r="AA403" s="552"/>
      <c r="AB403" s="552">
        <v>1</v>
      </c>
      <c r="AC403" s="552">
        <v>1</v>
      </c>
      <c r="AD403" s="552">
        <v>1</v>
      </c>
      <c r="AE403" s="552">
        <v>1</v>
      </c>
      <c r="AF403" s="552">
        <v>1</v>
      </c>
      <c r="AG403" s="542" t="s">
        <v>561</v>
      </c>
      <c r="AH403" s="552">
        <v>0</v>
      </c>
      <c r="AI403" s="552">
        <v>0</v>
      </c>
      <c r="AJ403" s="552">
        <v>1</v>
      </c>
      <c r="AK403" s="552">
        <v>1</v>
      </c>
      <c r="AL403" s="552">
        <v>1</v>
      </c>
      <c r="AM403" s="552">
        <v>0</v>
      </c>
      <c r="AN403" s="552">
        <v>0</v>
      </c>
      <c r="AO403" s="552">
        <v>1</v>
      </c>
      <c r="AP403" s="552">
        <v>1</v>
      </c>
      <c r="AQ403" s="552">
        <v>1</v>
      </c>
      <c r="AR403" s="552">
        <v>1</v>
      </c>
      <c r="AS403" s="552">
        <v>1</v>
      </c>
      <c r="AT403" s="552">
        <v>1</v>
      </c>
      <c r="AU403" s="552">
        <v>1</v>
      </c>
      <c r="AV403" s="553" t="str">
        <f>IF(H403="YES",IF($AV$2="Y","'"&amp;INDEX('Structure Groups'!$C$12:$C$14,MATCH($B$5,'Structure Groups'!$B$12:$B$14,0),1)&amp;"'","'"&amp;INDEX('Structure Groups'!$C$16:$C$18,MATCH($B$5,'Structure Groups'!$B$16:$B$18,0),1)&amp;"'"),IF($AV$2="Y","'All'","'Stop'"))</f>
        <v>'Stop GL Max 800m'</v>
      </c>
      <c r="AW403" s="552" t="s">
        <v>562</v>
      </c>
      <c r="AX403" s="552"/>
      <c r="AY403" s="552" t="str">
        <f t="shared" si="550"/>
        <v>Yes</v>
      </c>
      <c r="AZ403" s="554" t="str">
        <f t="shared" si="530"/>
        <v>4:1:Ahead</v>
      </c>
      <c r="BA403" s="554" t="str">
        <f t="shared" si="531"/>
        <v>Broken Wire (# Broken Subconductors)</v>
      </c>
      <c r="BB403" s="552">
        <f t="shared" si="532"/>
        <v>4</v>
      </c>
      <c r="BC403" s="554" t="str">
        <f t="shared" si="533"/>
        <v>14:1:Ahead</v>
      </c>
      <c r="BD403" s="554" t="str">
        <f t="shared" si="534"/>
        <v>Broken Wire (# Broken Subconductors)</v>
      </c>
      <c r="BE403" s="552">
        <f t="shared" si="535"/>
        <v>4</v>
      </c>
      <c r="BF403" s="554" t="str">
        <f t="shared" si="549"/>
        <v>6:1:Ahead</v>
      </c>
      <c r="BG403" s="554" t="str">
        <f t="shared" si="537"/>
        <v>Broken Wire (# Broken Subconductors)</v>
      </c>
      <c r="BH403" s="552">
        <f t="shared" si="538"/>
        <v>4</v>
      </c>
      <c r="BI403" s="554" t="str">
        <f t="shared" si="539"/>
        <v>16:1:Ahead</v>
      </c>
      <c r="BJ403" s="554" t="str">
        <f t="shared" si="540"/>
        <v>Broken Wire (# Broken Subconductors)</v>
      </c>
      <c r="BK403" s="552">
        <f t="shared" si="541"/>
        <v>4</v>
      </c>
      <c r="BL403" s="554" t="str">
        <f t="shared" si="542"/>
        <v/>
      </c>
      <c r="BM403" s="554" t="str">
        <f t="shared" si="543"/>
        <v/>
      </c>
      <c r="BN403" s="552" t="str">
        <f t="shared" si="544"/>
        <v/>
      </c>
      <c r="BO403" s="554" t="str">
        <f t="shared" si="545"/>
        <v/>
      </c>
      <c r="BP403" s="554" t="str">
        <f t="shared" si="546"/>
        <v/>
      </c>
      <c r="BQ403" s="552" t="str">
        <f t="shared" si="547"/>
        <v/>
      </c>
      <c r="BR403" s="554"/>
      <c r="BS403" s="554"/>
      <c r="BT403" s="554"/>
      <c r="BU403" s="554"/>
      <c r="BV403" s="554"/>
      <c r="BW403" s="554"/>
      <c r="BX403" s="554"/>
      <c r="BY403" s="554"/>
      <c r="BZ403" s="554"/>
      <c r="CA403" s="554"/>
      <c r="CB403" s="554"/>
      <c r="CC403" s="554"/>
      <c r="CD403" s="554"/>
      <c r="CE403" s="554"/>
      <c r="CF403" s="554"/>
      <c r="CG403" s="554"/>
      <c r="CH403" s="554"/>
      <c r="CI403" s="554"/>
      <c r="CJ403" s="554"/>
      <c r="CK403" s="554"/>
      <c r="CL403" s="554"/>
      <c r="CM403" s="554"/>
      <c r="CN403" s="554"/>
      <c r="CO403" s="554"/>
      <c r="CP403" s="554"/>
      <c r="CQ403" s="554"/>
      <c r="CR403" s="554"/>
      <c r="CS403" s="554"/>
      <c r="CT403" s="554"/>
      <c r="CU403" s="554"/>
      <c r="CV403" s="554"/>
      <c r="CW403" s="554"/>
      <c r="CX403" s="554"/>
      <c r="CY403" s="554"/>
      <c r="CZ403" s="554"/>
      <c r="DA403" s="554"/>
      <c r="DB403" s="554"/>
      <c r="DC403" s="554"/>
      <c r="DD403" s="554"/>
      <c r="DE403" s="534"/>
      <c r="DF403" s="534"/>
      <c r="DG403" s="534"/>
    </row>
    <row r="404" spans="1:111" ht="15" x14ac:dyDescent="0.25">
      <c r="A404" s="549">
        <f>IFERROR(IF(INDEX('Weather Cases'!$E$10:$E$94,MATCH('Load Criteria'!X404,'Weather Cases'!$H$10:$H$94,0),1)=1,1,"-"),"-")</f>
        <v>1</v>
      </c>
      <c r="B404" s="555" t="s">
        <v>558</v>
      </c>
      <c r="C404" s="556" t="str">
        <f>IF('Weather Cases'!$E$46=0,"","DC")</f>
        <v>DC</v>
      </c>
      <c r="D404" s="555" t="s">
        <v>579</v>
      </c>
      <c r="E404" s="556">
        <v>2</v>
      </c>
      <c r="F404" s="556" t="s">
        <v>22</v>
      </c>
      <c r="G404" s="556" t="str">
        <f>IFERROR(IF(MID('Load Criteria'!X404,FIND("_",'Load Criteria'!X404,1)+1,1)=LEFT(Control!$D$23,1),"YES","-"),"-")</f>
        <v>-</v>
      </c>
      <c r="H404" s="549" t="str">
        <f>IF(INDEX('Weather Cases'!$G$10:$G$94,MATCH('Load Criteria'!X404,'Weather Cases'!$H$10:$H$94,0),1)="H","YES","")</f>
        <v>YES</v>
      </c>
      <c r="I404" s="557" t="s">
        <v>333</v>
      </c>
      <c r="J404" s="550">
        <f>Control!$D$25</f>
        <v>1</v>
      </c>
      <c r="K404" s="508" t="s">
        <v>571</v>
      </c>
      <c r="L404" s="508" t="s">
        <v>24</v>
      </c>
      <c r="M404" s="550">
        <v>5</v>
      </c>
      <c r="N404" s="550">
        <v>6</v>
      </c>
      <c r="O404" s="550"/>
      <c r="P404" s="392"/>
      <c r="Q404" s="392"/>
      <c r="R404" s="392"/>
      <c r="S404" s="392"/>
      <c r="T404" s="392"/>
      <c r="U404" s="255" t="s">
        <v>574</v>
      </c>
      <c r="V404" s="551"/>
      <c r="W404" s="542" t="str">
        <f t="shared" si="548"/>
        <v>RI0001_8+TA56 NA-</v>
      </c>
      <c r="X404" s="552" t="str">
        <f>I404&amp;TEXT(J404,"0000")&amp;"_"&amp;LEFT(Control!$D$22,LEN(Control!$D$22)-2)</f>
        <v>RI0001_8</v>
      </c>
      <c r="Y404" s="552" t="s">
        <v>433</v>
      </c>
      <c r="Z404" s="552" t="str">
        <f t="shared" si="529"/>
        <v>NA-</v>
      </c>
      <c r="AA404" s="552"/>
      <c r="AB404" s="552">
        <v>1</v>
      </c>
      <c r="AC404" s="552">
        <v>1</v>
      </c>
      <c r="AD404" s="552">
        <v>1</v>
      </c>
      <c r="AE404" s="552">
        <v>1</v>
      </c>
      <c r="AF404" s="552">
        <v>1</v>
      </c>
      <c r="AG404" s="542" t="s">
        <v>561</v>
      </c>
      <c r="AH404" s="552">
        <v>0</v>
      </c>
      <c r="AI404" s="552">
        <v>0</v>
      </c>
      <c r="AJ404" s="552">
        <v>1</v>
      </c>
      <c r="AK404" s="552">
        <v>1</v>
      </c>
      <c r="AL404" s="552">
        <v>1</v>
      </c>
      <c r="AM404" s="552">
        <v>0</v>
      </c>
      <c r="AN404" s="552">
        <v>0</v>
      </c>
      <c r="AO404" s="552">
        <v>1</v>
      </c>
      <c r="AP404" s="552">
        <v>1</v>
      </c>
      <c r="AQ404" s="552">
        <v>1</v>
      </c>
      <c r="AR404" s="552">
        <v>1</v>
      </c>
      <c r="AS404" s="552">
        <v>1</v>
      </c>
      <c r="AT404" s="552">
        <v>1</v>
      </c>
      <c r="AU404" s="552">
        <v>1</v>
      </c>
      <c r="AV404" s="553" t="str">
        <f>IF(H404="YES",IF($AV$2="Y","'"&amp;INDEX('Structure Groups'!$C$12:$C$14,MATCH($B$5,'Structure Groups'!$B$12:$B$14,0),1)&amp;"'","'"&amp;INDEX('Structure Groups'!$C$16:$C$18,MATCH($B$5,'Structure Groups'!$B$16:$B$18,0),1)&amp;"'"),IF($AV$2="Y","'All'","'Stop'"))</f>
        <v>'Stop GL Max 800m'</v>
      </c>
      <c r="AW404" s="552" t="s">
        <v>562</v>
      </c>
      <c r="AX404" s="552"/>
      <c r="AY404" s="552" t="str">
        <f t="shared" si="550"/>
        <v>Yes</v>
      </c>
      <c r="AZ404" s="554" t="str">
        <f t="shared" si="530"/>
        <v>5:1:Ahead</v>
      </c>
      <c r="BA404" s="554" t="str">
        <f t="shared" si="531"/>
        <v>Broken Wire (# Broken Subconductors)</v>
      </c>
      <c r="BB404" s="552">
        <f t="shared" si="532"/>
        <v>4</v>
      </c>
      <c r="BC404" s="554" t="str">
        <f t="shared" si="533"/>
        <v>15:1:Ahead</v>
      </c>
      <c r="BD404" s="554" t="str">
        <f t="shared" si="534"/>
        <v>Broken Wire (# Broken Subconductors)</v>
      </c>
      <c r="BE404" s="552">
        <f t="shared" si="535"/>
        <v>4</v>
      </c>
      <c r="BF404" s="554" t="str">
        <f t="shared" si="549"/>
        <v>6:1:Ahead</v>
      </c>
      <c r="BG404" s="554" t="str">
        <f t="shared" si="537"/>
        <v>Broken Wire (# Broken Subconductors)</v>
      </c>
      <c r="BH404" s="552">
        <f t="shared" si="538"/>
        <v>4</v>
      </c>
      <c r="BI404" s="554" t="str">
        <f t="shared" si="539"/>
        <v>16:1:Ahead</v>
      </c>
      <c r="BJ404" s="554" t="str">
        <f t="shared" si="540"/>
        <v>Broken Wire (# Broken Subconductors)</v>
      </c>
      <c r="BK404" s="552">
        <f t="shared" si="541"/>
        <v>4</v>
      </c>
      <c r="BL404" s="554" t="str">
        <f t="shared" si="542"/>
        <v/>
      </c>
      <c r="BM404" s="554" t="str">
        <f t="shared" si="543"/>
        <v/>
      </c>
      <c r="BN404" s="552" t="str">
        <f t="shared" si="544"/>
        <v/>
      </c>
      <c r="BO404" s="554" t="str">
        <f t="shared" si="545"/>
        <v/>
      </c>
      <c r="BP404" s="554" t="str">
        <f t="shared" si="546"/>
        <v/>
      </c>
      <c r="BQ404" s="552" t="str">
        <f t="shared" si="547"/>
        <v/>
      </c>
      <c r="BR404" s="554"/>
      <c r="BS404" s="554"/>
      <c r="BT404" s="554"/>
      <c r="BU404" s="554"/>
      <c r="BV404" s="554"/>
      <c r="BW404" s="554"/>
      <c r="BX404" s="554"/>
      <c r="BY404" s="554"/>
      <c r="BZ404" s="554"/>
      <c r="CA404" s="554"/>
      <c r="CB404" s="554"/>
      <c r="CC404" s="554"/>
      <c r="CD404" s="554"/>
      <c r="CE404" s="554"/>
      <c r="CF404" s="554"/>
      <c r="CG404" s="554"/>
      <c r="CH404" s="554"/>
      <c r="CI404" s="554"/>
      <c r="CJ404" s="554"/>
      <c r="CK404" s="554"/>
      <c r="CL404" s="554"/>
      <c r="CM404" s="554"/>
      <c r="CN404" s="554"/>
      <c r="CO404" s="554"/>
      <c r="CP404" s="554"/>
      <c r="CQ404" s="554"/>
      <c r="CR404" s="554"/>
      <c r="CS404" s="554"/>
      <c r="CT404" s="554"/>
      <c r="CU404" s="554"/>
      <c r="CV404" s="554"/>
      <c r="CW404" s="554"/>
      <c r="CX404" s="554"/>
      <c r="CY404" s="554"/>
      <c r="CZ404" s="554"/>
      <c r="DA404" s="554"/>
      <c r="DB404" s="554"/>
      <c r="DC404" s="554"/>
      <c r="DD404" s="554"/>
      <c r="DE404" s="534"/>
      <c r="DF404" s="534"/>
      <c r="DG404" s="534"/>
    </row>
    <row r="405" spans="1:111" ht="15" x14ac:dyDescent="0.25">
      <c r="A405" s="549">
        <f>IFERROR(IF(INDEX('Weather Cases'!$E$10:$E$94,MATCH('Load Criteria'!X405,'Weather Cases'!$H$10:$H$94,0),1)=1,1,"-"),"-")</f>
        <v>1</v>
      </c>
      <c r="B405" s="555" t="s">
        <v>558</v>
      </c>
      <c r="C405" s="556" t="str">
        <f>IF('Weather Cases'!$E$46=0,"","DC")</f>
        <v>DC</v>
      </c>
      <c r="D405" s="555" t="s">
        <v>579</v>
      </c>
      <c r="E405" s="556">
        <v>2</v>
      </c>
      <c r="F405" s="555" t="s">
        <v>581</v>
      </c>
      <c r="G405" s="556" t="str">
        <f>IFERROR(IF(MID('Load Criteria'!X405,FIND("_",'Load Criteria'!X405,1)+1,1)=LEFT(Control!$D$23,1),"YES","-"),"-")</f>
        <v>-</v>
      </c>
      <c r="H405" s="549" t="str">
        <f>IF(INDEX('Weather Cases'!$G$10:$G$94,MATCH('Load Criteria'!X405,'Weather Cases'!$H$10:$H$94,0),1)="H","YES","")</f>
        <v>YES</v>
      </c>
      <c r="I405" s="557" t="s">
        <v>333</v>
      </c>
      <c r="J405" s="550">
        <f>Control!$D$25</f>
        <v>1</v>
      </c>
      <c r="K405" s="508" t="s">
        <v>571</v>
      </c>
      <c r="L405" s="508" t="s">
        <v>24</v>
      </c>
      <c r="M405" s="550">
        <v>6</v>
      </c>
      <c r="N405" s="550">
        <v>8</v>
      </c>
      <c r="O405" s="550"/>
      <c r="P405" s="392"/>
      <c r="Q405" s="392"/>
      <c r="R405" s="392"/>
      <c r="S405" s="392"/>
      <c r="T405" s="392"/>
      <c r="U405" s="255" t="s">
        <v>574</v>
      </c>
      <c r="V405" s="551"/>
      <c r="W405" s="542" t="str">
        <f t="shared" si="548"/>
        <v>RI0001_8+TA68 NA-</v>
      </c>
      <c r="X405" s="552" t="str">
        <f>I405&amp;TEXT(J405,"0000")&amp;"_"&amp;LEFT(Control!$D$22,LEN(Control!$D$22)-2)</f>
        <v>RI0001_8</v>
      </c>
      <c r="Y405" s="552" t="s">
        <v>433</v>
      </c>
      <c r="Z405" s="552" t="str">
        <f t="shared" si="529"/>
        <v>NA-</v>
      </c>
      <c r="AA405" s="552"/>
      <c r="AB405" s="552">
        <v>1</v>
      </c>
      <c r="AC405" s="552">
        <v>1</v>
      </c>
      <c r="AD405" s="552">
        <v>1</v>
      </c>
      <c r="AE405" s="552">
        <v>1</v>
      </c>
      <c r="AF405" s="552">
        <v>1</v>
      </c>
      <c r="AG405" s="542" t="s">
        <v>561</v>
      </c>
      <c r="AH405" s="552">
        <v>0</v>
      </c>
      <c r="AI405" s="552">
        <v>0</v>
      </c>
      <c r="AJ405" s="552">
        <v>1</v>
      </c>
      <c r="AK405" s="552">
        <v>1</v>
      </c>
      <c r="AL405" s="552">
        <v>1</v>
      </c>
      <c r="AM405" s="552">
        <v>0</v>
      </c>
      <c r="AN405" s="552">
        <v>0</v>
      </c>
      <c r="AO405" s="552">
        <v>1</v>
      </c>
      <c r="AP405" s="552">
        <v>1</v>
      </c>
      <c r="AQ405" s="552">
        <v>1</v>
      </c>
      <c r="AR405" s="552">
        <v>1</v>
      </c>
      <c r="AS405" s="552">
        <v>1</v>
      </c>
      <c r="AT405" s="552">
        <v>1</v>
      </c>
      <c r="AU405" s="552">
        <v>1</v>
      </c>
      <c r="AV405" s="553" t="str">
        <f>IF(H405="YES",IF($AV$2="Y","'"&amp;INDEX('Structure Groups'!$C$12:$C$14,MATCH($B$5,'Structure Groups'!$B$12:$B$14,0),1)&amp;"'","'"&amp;INDEX('Structure Groups'!$C$16:$C$18,MATCH($B$5,'Structure Groups'!$B$16:$B$18,0),1)&amp;"'"),IF($AV$2="Y","'All'","'Stop'"))</f>
        <v>'Stop GL Max 800m'</v>
      </c>
      <c r="AW405" s="552" t="s">
        <v>562</v>
      </c>
      <c r="AX405" s="552"/>
      <c r="AY405" s="552" t="str">
        <f t="shared" si="550"/>
        <v>Yes</v>
      </c>
      <c r="AZ405" s="554" t="str">
        <f t="shared" si="530"/>
        <v>6:1:Ahead</v>
      </c>
      <c r="BA405" s="554" t="str">
        <f t="shared" si="531"/>
        <v>Broken Wire (# Broken Subconductors)</v>
      </c>
      <c r="BB405" s="552">
        <f t="shared" si="532"/>
        <v>4</v>
      </c>
      <c r="BC405" s="554" t="str">
        <f t="shared" si="533"/>
        <v>16:1:Ahead</v>
      </c>
      <c r="BD405" s="554" t="str">
        <f t="shared" si="534"/>
        <v>Broken Wire (# Broken Subconductors)</v>
      </c>
      <c r="BE405" s="552">
        <f t="shared" si="535"/>
        <v>4</v>
      </c>
      <c r="BF405" s="554" t="str">
        <f t="shared" si="549"/>
        <v>8:1:Ahead</v>
      </c>
      <c r="BG405" s="554" t="str">
        <f t="shared" si="537"/>
        <v>Broken Wire (# Broken Subconductors)</v>
      </c>
      <c r="BH405" s="552">
        <f t="shared" si="538"/>
        <v>4</v>
      </c>
      <c r="BI405" s="554" t="str">
        <f t="shared" si="539"/>
        <v>18:1:Ahead</v>
      </c>
      <c r="BJ405" s="554" t="str">
        <f t="shared" si="540"/>
        <v>Broken Wire (# Broken Subconductors)</v>
      </c>
      <c r="BK405" s="552">
        <f t="shared" si="541"/>
        <v>4</v>
      </c>
      <c r="BL405" s="554" t="str">
        <f t="shared" si="542"/>
        <v/>
      </c>
      <c r="BM405" s="554" t="str">
        <f t="shared" si="543"/>
        <v/>
      </c>
      <c r="BN405" s="552" t="str">
        <f t="shared" si="544"/>
        <v/>
      </c>
      <c r="BO405" s="554" t="str">
        <f t="shared" si="545"/>
        <v/>
      </c>
      <c r="BP405" s="554" t="str">
        <f t="shared" si="546"/>
        <v/>
      </c>
      <c r="BQ405" s="552" t="str">
        <f t="shared" si="547"/>
        <v/>
      </c>
      <c r="BR405" s="554"/>
      <c r="BS405" s="554"/>
      <c r="BT405" s="554"/>
      <c r="BU405" s="554"/>
      <c r="BV405" s="554"/>
      <c r="BW405" s="554"/>
      <c r="BX405" s="554"/>
      <c r="BY405" s="554"/>
      <c r="BZ405" s="554"/>
      <c r="CA405" s="554"/>
      <c r="CB405" s="554"/>
      <c r="CC405" s="554"/>
      <c r="CD405" s="554"/>
      <c r="CE405" s="554"/>
      <c r="CF405" s="554"/>
      <c r="CG405" s="554"/>
      <c r="CH405" s="554"/>
      <c r="CI405" s="554"/>
      <c r="CJ405" s="554"/>
      <c r="CK405" s="554"/>
      <c r="CL405" s="554"/>
      <c r="CM405" s="554"/>
      <c r="CN405" s="554"/>
      <c r="CO405" s="554"/>
      <c r="CP405" s="554"/>
      <c r="CQ405" s="554"/>
      <c r="CR405" s="554"/>
      <c r="CS405" s="554"/>
      <c r="CT405" s="554"/>
      <c r="CU405" s="554"/>
      <c r="CV405" s="554"/>
      <c r="CW405" s="554"/>
      <c r="CX405" s="554"/>
      <c r="CY405" s="554"/>
      <c r="CZ405" s="554"/>
      <c r="DA405" s="554"/>
      <c r="DB405" s="554"/>
      <c r="DC405" s="554"/>
      <c r="DD405" s="554"/>
      <c r="DE405" s="534"/>
      <c r="DF405" s="534"/>
      <c r="DG405" s="534"/>
    </row>
    <row r="406" spans="1:111" ht="15" x14ac:dyDescent="0.25">
      <c r="A406" s="549">
        <f>IFERROR(IF(INDEX('Weather Cases'!$E$10:$E$94,MATCH('Load Criteria'!X406,'Weather Cases'!$H$10:$H$94,0),1)=1,1,"-"),"-")</f>
        <v>1</v>
      </c>
      <c r="B406" s="555" t="s">
        <v>558</v>
      </c>
      <c r="C406" s="556" t="str">
        <f>IF('Weather Cases'!$E$46=0,"","DC")</f>
        <v>DC</v>
      </c>
      <c r="D406" s="555" t="s">
        <v>579</v>
      </c>
      <c r="E406" s="556">
        <v>2</v>
      </c>
      <c r="F406" s="556" t="s">
        <v>22</v>
      </c>
      <c r="G406" s="556" t="str">
        <f>IFERROR(IF(MID('Load Criteria'!X406,FIND("_",'Load Criteria'!X406,1)+1,1)=LEFT(Control!$D$23,1),"YES","-"),"-")</f>
        <v>-</v>
      </c>
      <c r="H406" s="549" t="str">
        <f>IF(INDEX('Weather Cases'!$G$10:$G$94,MATCH('Load Criteria'!X406,'Weather Cases'!$H$10:$H$94,0),1)="H","YES","")</f>
        <v>YES</v>
      </c>
      <c r="I406" s="557" t="s">
        <v>333</v>
      </c>
      <c r="J406" s="550">
        <f>Control!$D$25</f>
        <v>1</v>
      </c>
      <c r="K406" s="508" t="s">
        <v>571</v>
      </c>
      <c r="L406" s="508" t="s">
        <v>40</v>
      </c>
      <c r="M406" s="550">
        <v>1</v>
      </c>
      <c r="N406" s="550">
        <v>2</v>
      </c>
      <c r="O406" s="550"/>
      <c r="P406" s="392"/>
      <c r="Q406" s="392"/>
      <c r="R406" s="392"/>
      <c r="S406" s="392"/>
      <c r="T406" s="392"/>
      <c r="U406" s="255" t="s">
        <v>574</v>
      </c>
      <c r="V406" s="551"/>
      <c r="W406" s="542" t="str">
        <f t="shared" si="548"/>
        <v>RI0001_8+TB12 NA-</v>
      </c>
      <c r="X406" s="552" t="str">
        <f>I406&amp;TEXT(J406,"0000")&amp;"_"&amp;LEFT(Control!$D$22,LEN(Control!$D$22)-2)</f>
        <v>RI0001_8</v>
      </c>
      <c r="Y406" s="552" t="s">
        <v>433</v>
      </c>
      <c r="Z406" s="552" t="str">
        <f t="shared" si="529"/>
        <v>NA-</v>
      </c>
      <c r="AA406" s="552"/>
      <c r="AB406" s="552">
        <v>1</v>
      </c>
      <c r="AC406" s="552">
        <v>1</v>
      </c>
      <c r="AD406" s="552">
        <v>1</v>
      </c>
      <c r="AE406" s="552">
        <v>1</v>
      </c>
      <c r="AF406" s="552">
        <v>1</v>
      </c>
      <c r="AG406" s="542" t="s">
        <v>561</v>
      </c>
      <c r="AH406" s="552">
        <v>0</v>
      </c>
      <c r="AI406" s="552">
        <v>0</v>
      </c>
      <c r="AJ406" s="552">
        <v>1</v>
      </c>
      <c r="AK406" s="552">
        <v>1</v>
      </c>
      <c r="AL406" s="552">
        <v>1</v>
      </c>
      <c r="AM406" s="552">
        <v>0</v>
      </c>
      <c r="AN406" s="552">
        <v>0</v>
      </c>
      <c r="AO406" s="552">
        <v>1</v>
      </c>
      <c r="AP406" s="552">
        <v>1</v>
      </c>
      <c r="AQ406" s="552">
        <v>1</v>
      </c>
      <c r="AR406" s="552">
        <v>1</v>
      </c>
      <c r="AS406" s="552">
        <v>1</v>
      </c>
      <c r="AT406" s="552">
        <v>1</v>
      </c>
      <c r="AU406" s="552">
        <v>1</v>
      </c>
      <c r="AV406" s="553" t="str">
        <f>IF(H406="YES",IF($AV$2="Y","'"&amp;INDEX('Structure Groups'!$C$12:$C$14,MATCH($B$5,'Structure Groups'!$B$12:$B$14,0),1)&amp;"'","'"&amp;INDEX('Structure Groups'!$C$16:$C$18,MATCH($B$5,'Structure Groups'!$B$16:$B$18,0),1)&amp;"'"),IF($AV$2="Y","'All'","'Stop'"))</f>
        <v>'Stop GL Max 800m'</v>
      </c>
      <c r="AW406" s="552" t="s">
        <v>562</v>
      </c>
      <c r="AX406" s="552"/>
      <c r="AY406" s="552" t="str">
        <f t="shared" si="550"/>
        <v>Yes</v>
      </c>
      <c r="AZ406" s="554" t="str">
        <f t="shared" si="530"/>
        <v>1:1:Back</v>
      </c>
      <c r="BA406" s="554" t="str">
        <f t="shared" si="531"/>
        <v>Broken Wire (# Broken Subconductors)</v>
      </c>
      <c r="BB406" s="552">
        <f t="shared" si="532"/>
        <v>4</v>
      </c>
      <c r="BC406" s="554" t="str">
        <f t="shared" si="533"/>
        <v>11:1:Back</v>
      </c>
      <c r="BD406" s="554" t="str">
        <f t="shared" si="534"/>
        <v>Broken Wire (# Broken Subconductors)</v>
      </c>
      <c r="BE406" s="552">
        <f t="shared" si="535"/>
        <v>4</v>
      </c>
      <c r="BF406" s="554" t="str">
        <f t="shared" si="549"/>
        <v>2:1:Back</v>
      </c>
      <c r="BG406" s="554" t="str">
        <f t="shared" si="537"/>
        <v>Broken Wire (# Broken Subconductors)</v>
      </c>
      <c r="BH406" s="552">
        <f t="shared" si="538"/>
        <v>4</v>
      </c>
      <c r="BI406" s="554" t="str">
        <f t="shared" si="539"/>
        <v>12:1:Back</v>
      </c>
      <c r="BJ406" s="554" t="str">
        <f t="shared" si="540"/>
        <v>Broken Wire (# Broken Subconductors)</v>
      </c>
      <c r="BK406" s="552">
        <f t="shared" si="541"/>
        <v>4</v>
      </c>
      <c r="BL406" s="554" t="str">
        <f t="shared" si="542"/>
        <v/>
      </c>
      <c r="BM406" s="554" t="str">
        <f t="shared" si="543"/>
        <v/>
      </c>
      <c r="BN406" s="552" t="str">
        <f t="shared" si="544"/>
        <v/>
      </c>
      <c r="BO406" s="554" t="str">
        <f t="shared" si="545"/>
        <v/>
      </c>
      <c r="BP406" s="554" t="str">
        <f t="shared" si="546"/>
        <v/>
      </c>
      <c r="BQ406" s="552" t="str">
        <f t="shared" si="547"/>
        <v/>
      </c>
      <c r="BR406" s="554"/>
      <c r="BS406" s="554"/>
      <c r="BT406" s="554"/>
      <c r="BU406" s="554"/>
      <c r="BV406" s="554"/>
      <c r="BW406" s="554"/>
      <c r="BX406" s="554"/>
      <c r="BY406" s="554"/>
      <c r="BZ406" s="554"/>
      <c r="CA406" s="554"/>
      <c r="CB406" s="554"/>
      <c r="CC406" s="554"/>
      <c r="CD406" s="554"/>
      <c r="CE406" s="554"/>
      <c r="CF406" s="554"/>
      <c r="CG406" s="554"/>
      <c r="CH406" s="554"/>
      <c r="CI406" s="554"/>
      <c r="CJ406" s="554"/>
      <c r="CK406" s="554"/>
      <c r="CL406" s="554"/>
      <c r="CM406" s="554"/>
      <c r="CN406" s="554"/>
      <c r="CO406" s="554"/>
      <c r="CP406" s="554"/>
      <c r="CQ406" s="554"/>
      <c r="CR406" s="554"/>
      <c r="CS406" s="554"/>
      <c r="CT406" s="554"/>
      <c r="CU406" s="554"/>
      <c r="CV406" s="554"/>
      <c r="CW406" s="554"/>
      <c r="CX406" s="554"/>
      <c r="CY406" s="554"/>
      <c r="CZ406" s="554"/>
      <c r="DA406" s="554"/>
      <c r="DB406" s="554"/>
      <c r="DC406" s="554"/>
      <c r="DD406" s="554"/>
      <c r="DE406" s="534"/>
      <c r="DF406" s="534"/>
      <c r="DG406" s="534"/>
    </row>
    <row r="407" spans="1:111" ht="15" x14ac:dyDescent="0.25">
      <c r="A407" s="549">
        <f>IFERROR(IF(INDEX('Weather Cases'!$E$10:$E$94,MATCH('Load Criteria'!X407,'Weather Cases'!$H$10:$H$94,0),1)=1,1,"-"),"-")</f>
        <v>1</v>
      </c>
      <c r="B407" s="555" t="s">
        <v>558</v>
      </c>
      <c r="C407" s="556" t="str">
        <f>IF('Weather Cases'!$E$46=0,"","DC")</f>
        <v>DC</v>
      </c>
      <c r="D407" s="555" t="s">
        <v>579</v>
      </c>
      <c r="E407" s="556">
        <v>2</v>
      </c>
      <c r="F407" s="556" t="s">
        <v>22</v>
      </c>
      <c r="G407" s="556" t="str">
        <f>IFERROR(IF(MID('Load Criteria'!X407,FIND("_",'Load Criteria'!X407,1)+1,1)=LEFT(Control!$D$23,1),"YES","-"),"-")</f>
        <v>-</v>
      </c>
      <c r="H407" s="549" t="str">
        <f>IF(INDEX('Weather Cases'!$G$10:$G$94,MATCH('Load Criteria'!X407,'Weather Cases'!$H$10:$H$94,0),1)="H","YES","")</f>
        <v>YES</v>
      </c>
      <c r="I407" s="557" t="s">
        <v>333</v>
      </c>
      <c r="J407" s="550">
        <f>Control!$D$25</f>
        <v>1</v>
      </c>
      <c r="K407" s="508" t="s">
        <v>571</v>
      </c>
      <c r="L407" s="508" t="s">
        <v>40</v>
      </c>
      <c r="M407" s="550">
        <v>2</v>
      </c>
      <c r="N407" s="550">
        <v>3</v>
      </c>
      <c r="O407" s="550"/>
      <c r="P407" s="392"/>
      <c r="Q407" s="392"/>
      <c r="R407" s="392"/>
      <c r="S407" s="392"/>
      <c r="T407" s="392"/>
      <c r="U407" s="255" t="s">
        <v>574</v>
      </c>
      <c r="V407" s="551"/>
      <c r="W407" s="542" t="str">
        <f t="shared" si="548"/>
        <v>RI0001_8+TB23 NA-</v>
      </c>
      <c r="X407" s="552" t="str">
        <f>I407&amp;TEXT(J407,"0000")&amp;"_"&amp;LEFT(Control!$D$22,LEN(Control!$D$22)-2)</f>
        <v>RI0001_8</v>
      </c>
      <c r="Y407" s="552" t="s">
        <v>433</v>
      </c>
      <c r="Z407" s="552" t="str">
        <f t="shared" si="529"/>
        <v>NA-</v>
      </c>
      <c r="AA407" s="552"/>
      <c r="AB407" s="552">
        <v>1</v>
      </c>
      <c r="AC407" s="552">
        <v>1</v>
      </c>
      <c r="AD407" s="552">
        <v>1</v>
      </c>
      <c r="AE407" s="552">
        <v>1</v>
      </c>
      <c r="AF407" s="552">
        <v>1</v>
      </c>
      <c r="AG407" s="542" t="s">
        <v>561</v>
      </c>
      <c r="AH407" s="552">
        <v>0</v>
      </c>
      <c r="AI407" s="552">
        <v>0</v>
      </c>
      <c r="AJ407" s="552">
        <v>1</v>
      </c>
      <c r="AK407" s="552">
        <v>1</v>
      </c>
      <c r="AL407" s="552">
        <v>1</v>
      </c>
      <c r="AM407" s="552">
        <v>0</v>
      </c>
      <c r="AN407" s="552">
        <v>0</v>
      </c>
      <c r="AO407" s="552">
        <v>1</v>
      </c>
      <c r="AP407" s="552">
        <v>1</v>
      </c>
      <c r="AQ407" s="552">
        <v>1</v>
      </c>
      <c r="AR407" s="552">
        <v>1</v>
      </c>
      <c r="AS407" s="552">
        <v>1</v>
      </c>
      <c r="AT407" s="552">
        <v>1</v>
      </c>
      <c r="AU407" s="552">
        <v>1</v>
      </c>
      <c r="AV407" s="553" t="str">
        <f>IF(H407="YES",IF($AV$2="Y","'"&amp;INDEX('Structure Groups'!$C$12:$C$14,MATCH($B$5,'Structure Groups'!$B$12:$B$14,0),1)&amp;"'","'"&amp;INDEX('Structure Groups'!$C$16:$C$18,MATCH($B$5,'Structure Groups'!$B$16:$B$18,0),1)&amp;"'"),IF($AV$2="Y","'All'","'Stop'"))</f>
        <v>'Stop GL Max 800m'</v>
      </c>
      <c r="AW407" s="552" t="s">
        <v>562</v>
      </c>
      <c r="AX407" s="552"/>
      <c r="AY407" s="552" t="str">
        <f t="shared" si="550"/>
        <v>Yes</v>
      </c>
      <c r="AZ407" s="554" t="str">
        <f t="shared" si="530"/>
        <v>2:1:Back</v>
      </c>
      <c r="BA407" s="554" t="str">
        <f t="shared" si="531"/>
        <v>Broken Wire (# Broken Subconductors)</v>
      </c>
      <c r="BB407" s="552">
        <f t="shared" si="532"/>
        <v>4</v>
      </c>
      <c r="BC407" s="554" t="str">
        <f t="shared" si="533"/>
        <v>12:1:Back</v>
      </c>
      <c r="BD407" s="554" t="str">
        <f t="shared" si="534"/>
        <v>Broken Wire (# Broken Subconductors)</v>
      </c>
      <c r="BE407" s="552">
        <f t="shared" si="535"/>
        <v>4</v>
      </c>
      <c r="BF407" s="554" t="str">
        <f t="shared" si="549"/>
        <v>3:1:Back</v>
      </c>
      <c r="BG407" s="554" t="str">
        <f t="shared" si="537"/>
        <v>Broken Wire (# Broken Subconductors)</v>
      </c>
      <c r="BH407" s="552">
        <f t="shared" si="538"/>
        <v>4</v>
      </c>
      <c r="BI407" s="554" t="str">
        <f t="shared" si="539"/>
        <v>13:1:Back</v>
      </c>
      <c r="BJ407" s="554" t="str">
        <f t="shared" si="540"/>
        <v>Broken Wire (# Broken Subconductors)</v>
      </c>
      <c r="BK407" s="552">
        <f t="shared" si="541"/>
        <v>4</v>
      </c>
      <c r="BL407" s="554" t="str">
        <f t="shared" si="542"/>
        <v/>
      </c>
      <c r="BM407" s="554" t="str">
        <f t="shared" si="543"/>
        <v/>
      </c>
      <c r="BN407" s="552" t="str">
        <f t="shared" si="544"/>
        <v/>
      </c>
      <c r="BO407" s="554" t="str">
        <f t="shared" si="545"/>
        <v/>
      </c>
      <c r="BP407" s="554" t="str">
        <f t="shared" si="546"/>
        <v/>
      </c>
      <c r="BQ407" s="552" t="str">
        <f t="shared" si="547"/>
        <v/>
      </c>
      <c r="BR407" s="554"/>
      <c r="BS407" s="554"/>
      <c r="BT407" s="554"/>
      <c r="BU407" s="554"/>
      <c r="BV407" s="554"/>
      <c r="BW407" s="554"/>
      <c r="BX407" s="554"/>
      <c r="BY407" s="554"/>
      <c r="BZ407" s="554"/>
      <c r="CA407" s="554"/>
      <c r="CB407" s="554"/>
      <c r="CC407" s="554"/>
      <c r="CD407" s="554"/>
      <c r="CE407" s="554"/>
      <c r="CF407" s="554"/>
      <c r="CG407" s="554"/>
      <c r="CH407" s="554"/>
      <c r="CI407" s="554"/>
      <c r="CJ407" s="554"/>
      <c r="CK407" s="554"/>
      <c r="CL407" s="554"/>
      <c r="CM407" s="554"/>
      <c r="CN407" s="554"/>
      <c r="CO407" s="554"/>
      <c r="CP407" s="554"/>
      <c r="CQ407" s="554"/>
      <c r="CR407" s="554"/>
      <c r="CS407" s="554"/>
      <c r="CT407" s="554"/>
      <c r="CU407" s="554"/>
      <c r="CV407" s="554"/>
      <c r="CW407" s="554"/>
      <c r="CX407" s="554"/>
      <c r="CY407" s="554"/>
      <c r="CZ407" s="554"/>
      <c r="DA407" s="554"/>
      <c r="DB407" s="554"/>
      <c r="DC407" s="554"/>
      <c r="DD407" s="554"/>
      <c r="DE407" s="534"/>
      <c r="DF407" s="534"/>
      <c r="DG407" s="534"/>
    </row>
    <row r="408" spans="1:111" ht="15" x14ac:dyDescent="0.25">
      <c r="A408" s="549">
        <f>IFERROR(IF(INDEX('Weather Cases'!$E$10:$E$94,MATCH('Load Criteria'!X408,'Weather Cases'!$H$10:$H$94,0),1)=1,1,"-"),"-")</f>
        <v>1</v>
      </c>
      <c r="B408" s="555" t="s">
        <v>558</v>
      </c>
      <c r="C408" s="556" t="str">
        <f>IF('Weather Cases'!$E$46=0,"","DC")</f>
        <v>DC</v>
      </c>
      <c r="D408" s="555" t="s">
        <v>579</v>
      </c>
      <c r="E408" s="556">
        <v>2</v>
      </c>
      <c r="F408" s="556" t="s">
        <v>22</v>
      </c>
      <c r="G408" s="556" t="str">
        <f>IFERROR(IF(MID('Load Criteria'!X408,FIND("_",'Load Criteria'!X408,1)+1,1)=LEFT(Control!$D$23,1),"YES","-"),"-")</f>
        <v>-</v>
      </c>
      <c r="H408" s="549" t="str">
        <f>IF(INDEX('Weather Cases'!$G$10:$G$94,MATCH('Load Criteria'!X408,'Weather Cases'!$H$10:$H$94,0),1)="H","YES","")</f>
        <v>YES</v>
      </c>
      <c r="I408" s="557" t="s">
        <v>333</v>
      </c>
      <c r="J408" s="550">
        <f>Control!$D$25</f>
        <v>1</v>
      </c>
      <c r="K408" s="508" t="s">
        <v>571</v>
      </c>
      <c r="L408" s="508" t="s">
        <v>40</v>
      </c>
      <c r="M408" s="550">
        <v>1</v>
      </c>
      <c r="N408" s="550">
        <v>3</v>
      </c>
      <c r="O408" s="550"/>
      <c r="P408" s="392"/>
      <c r="Q408" s="392"/>
      <c r="R408" s="392"/>
      <c r="S408" s="392"/>
      <c r="T408" s="392"/>
      <c r="U408" s="255" t="s">
        <v>574</v>
      </c>
      <c r="V408" s="551"/>
      <c r="W408" s="542" t="str">
        <f t="shared" si="548"/>
        <v>RI0001_8+TB13 NA-</v>
      </c>
      <c r="X408" s="552" t="str">
        <f>I408&amp;TEXT(J408,"0000")&amp;"_"&amp;LEFT(Control!$D$22,LEN(Control!$D$22)-2)</f>
        <v>RI0001_8</v>
      </c>
      <c r="Y408" s="552" t="s">
        <v>433</v>
      </c>
      <c r="Z408" s="552" t="str">
        <f t="shared" si="529"/>
        <v>NA-</v>
      </c>
      <c r="AA408" s="552"/>
      <c r="AB408" s="552">
        <v>1</v>
      </c>
      <c r="AC408" s="552">
        <v>1</v>
      </c>
      <c r="AD408" s="552">
        <v>1</v>
      </c>
      <c r="AE408" s="552">
        <v>1</v>
      </c>
      <c r="AF408" s="552">
        <v>1</v>
      </c>
      <c r="AG408" s="542" t="s">
        <v>561</v>
      </c>
      <c r="AH408" s="552">
        <v>0</v>
      </c>
      <c r="AI408" s="552">
        <v>0</v>
      </c>
      <c r="AJ408" s="552">
        <v>1</v>
      </c>
      <c r="AK408" s="552">
        <v>1</v>
      </c>
      <c r="AL408" s="552">
        <v>1</v>
      </c>
      <c r="AM408" s="552">
        <v>0</v>
      </c>
      <c r="AN408" s="552">
        <v>0</v>
      </c>
      <c r="AO408" s="552">
        <v>1</v>
      </c>
      <c r="AP408" s="552">
        <v>1</v>
      </c>
      <c r="AQ408" s="552">
        <v>1</v>
      </c>
      <c r="AR408" s="552">
        <v>1</v>
      </c>
      <c r="AS408" s="552">
        <v>1</v>
      </c>
      <c r="AT408" s="552">
        <v>1</v>
      </c>
      <c r="AU408" s="552">
        <v>1</v>
      </c>
      <c r="AV408" s="553" t="str">
        <f>IF(H408="YES",IF($AV$2="Y","'"&amp;INDEX('Structure Groups'!$C$12:$C$14,MATCH($B$5,'Structure Groups'!$B$12:$B$14,0),1)&amp;"'","'"&amp;INDEX('Structure Groups'!$C$16:$C$18,MATCH($B$5,'Structure Groups'!$B$16:$B$18,0),1)&amp;"'"),IF($AV$2="Y","'All'","'Stop'"))</f>
        <v>'Stop GL Max 800m'</v>
      </c>
      <c r="AW408" s="552" t="s">
        <v>562</v>
      </c>
      <c r="AX408" s="552"/>
      <c r="AY408" s="552" t="str">
        <f t="shared" si="550"/>
        <v>Yes</v>
      </c>
      <c r="AZ408" s="554" t="str">
        <f t="shared" si="530"/>
        <v>1:1:Back</v>
      </c>
      <c r="BA408" s="554" t="str">
        <f t="shared" si="531"/>
        <v>Broken Wire (# Broken Subconductors)</v>
      </c>
      <c r="BB408" s="552">
        <f t="shared" si="532"/>
        <v>4</v>
      </c>
      <c r="BC408" s="554" t="str">
        <f t="shared" si="533"/>
        <v>11:1:Back</v>
      </c>
      <c r="BD408" s="554" t="str">
        <f t="shared" si="534"/>
        <v>Broken Wire (# Broken Subconductors)</v>
      </c>
      <c r="BE408" s="552">
        <f t="shared" si="535"/>
        <v>4</v>
      </c>
      <c r="BF408" s="554" t="str">
        <f t="shared" si="549"/>
        <v>3:1:Back</v>
      </c>
      <c r="BG408" s="554" t="str">
        <f t="shared" si="537"/>
        <v>Broken Wire (# Broken Subconductors)</v>
      </c>
      <c r="BH408" s="552">
        <f t="shared" si="538"/>
        <v>4</v>
      </c>
      <c r="BI408" s="554" t="str">
        <f t="shared" si="539"/>
        <v>13:1:Back</v>
      </c>
      <c r="BJ408" s="554" t="str">
        <f t="shared" si="540"/>
        <v>Broken Wire (# Broken Subconductors)</v>
      </c>
      <c r="BK408" s="552">
        <f t="shared" si="541"/>
        <v>4</v>
      </c>
      <c r="BL408" s="554" t="str">
        <f t="shared" si="542"/>
        <v/>
      </c>
      <c r="BM408" s="554" t="str">
        <f t="shared" si="543"/>
        <v/>
      </c>
      <c r="BN408" s="552" t="str">
        <f t="shared" si="544"/>
        <v/>
      </c>
      <c r="BO408" s="554" t="str">
        <f t="shared" si="545"/>
        <v/>
      </c>
      <c r="BP408" s="554" t="str">
        <f t="shared" si="546"/>
        <v/>
      </c>
      <c r="BQ408" s="552" t="str">
        <f t="shared" si="547"/>
        <v/>
      </c>
      <c r="BR408" s="554"/>
      <c r="BS408" s="554"/>
      <c r="BT408" s="554"/>
      <c r="BU408" s="554"/>
      <c r="BV408" s="554"/>
      <c r="BW408" s="554"/>
      <c r="BX408" s="554"/>
      <c r="BY408" s="554"/>
      <c r="BZ408" s="554"/>
      <c r="CA408" s="554"/>
      <c r="CB408" s="554"/>
      <c r="CC408" s="554"/>
      <c r="CD408" s="554"/>
      <c r="CE408" s="554"/>
      <c r="CF408" s="554"/>
      <c r="CG408" s="554"/>
      <c r="CH408" s="554"/>
      <c r="CI408" s="554"/>
      <c r="CJ408" s="554"/>
      <c r="CK408" s="554"/>
      <c r="CL408" s="554"/>
      <c r="CM408" s="554"/>
      <c r="CN408" s="554"/>
      <c r="CO408" s="554"/>
      <c r="CP408" s="554"/>
      <c r="CQ408" s="554"/>
      <c r="CR408" s="554"/>
      <c r="CS408" s="554"/>
      <c r="CT408" s="554"/>
      <c r="CU408" s="554"/>
      <c r="CV408" s="554"/>
      <c r="CW408" s="554"/>
      <c r="CX408" s="554"/>
      <c r="CY408" s="554"/>
      <c r="CZ408" s="554"/>
      <c r="DA408" s="554"/>
      <c r="DB408" s="554"/>
      <c r="DC408" s="554"/>
      <c r="DD408" s="554"/>
      <c r="DE408" s="534"/>
      <c r="DF408" s="534"/>
      <c r="DG408" s="534"/>
    </row>
    <row r="409" spans="1:111" ht="15" x14ac:dyDescent="0.25">
      <c r="A409" s="549">
        <f>IFERROR(IF(INDEX('Weather Cases'!$E$10:$E$94,MATCH('Load Criteria'!X409,'Weather Cases'!$H$10:$H$94,0),1)=1,1,"-"),"-")</f>
        <v>1</v>
      </c>
      <c r="B409" s="555" t="s">
        <v>558</v>
      </c>
      <c r="C409" s="556" t="str">
        <f>IF('Weather Cases'!$E$46=0,"","DC")</f>
        <v>DC</v>
      </c>
      <c r="D409" s="555" t="s">
        <v>579</v>
      </c>
      <c r="E409" s="556">
        <v>2</v>
      </c>
      <c r="F409" s="555" t="s">
        <v>580</v>
      </c>
      <c r="G409" s="556" t="str">
        <f>IFERROR(IF(MID('Load Criteria'!X409,FIND("_",'Load Criteria'!X409,1)+1,1)=LEFT(Control!$D$23,1),"YES","-"),"-")</f>
        <v>-</v>
      </c>
      <c r="H409" s="549" t="str">
        <f>IF(INDEX('Weather Cases'!$G$10:$G$94,MATCH('Load Criteria'!X409,'Weather Cases'!$H$10:$H$94,0),1)="H","YES","")</f>
        <v>YES</v>
      </c>
      <c r="I409" s="557" t="s">
        <v>333</v>
      </c>
      <c r="J409" s="550">
        <f>Control!$D$25</f>
        <v>1</v>
      </c>
      <c r="K409" s="508" t="s">
        <v>571</v>
      </c>
      <c r="L409" s="508" t="s">
        <v>40</v>
      </c>
      <c r="M409" s="550">
        <v>3</v>
      </c>
      <c r="N409" s="550">
        <v>7</v>
      </c>
      <c r="O409" s="550"/>
      <c r="P409" s="392"/>
      <c r="Q409" s="392"/>
      <c r="R409" s="392"/>
      <c r="S409" s="392"/>
      <c r="T409" s="392"/>
      <c r="U409" s="255" t="s">
        <v>574</v>
      </c>
      <c r="V409" s="551"/>
      <c r="W409" s="542" t="str">
        <f t="shared" si="548"/>
        <v>RI0001_8+TB37 NA-</v>
      </c>
      <c r="X409" s="552" t="str">
        <f>I409&amp;TEXT(J409,"0000")&amp;"_"&amp;LEFT(Control!$D$22,LEN(Control!$D$22)-2)</f>
        <v>RI0001_8</v>
      </c>
      <c r="Y409" s="552" t="s">
        <v>433</v>
      </c>
      <c r="Z409" s="552" t="str">
        <f t="shared" si="529"/>
        <v>NA-</v>
      </c>
      <c r="AA409" s="552"/>
      <c r="AB409" s="552">
        <v>1</v>
      </c>
      <c r="AC409" s="552">
        <v>1</v>
      </c>
      <c r="AD409" s="552">
        <v>1</v>
      </c>
      <c r="AE409" s="552">
        <v>1</v>
      </c>
      <c r="AF409" s="552">
        <v>1</v>
      </c>
      <c r="AG409" s="542" t="s">
        <v>561</v>
      </c>
      <c r="AH409" s="552">
        <v>0</v>
      </c>
      <c r="AI409" s="552">
        <v>0</v>
      </c>
      <c r="AJ409" s="552">
        <v>1</v>
      </c>
      <c r="AK409" s="552">
        <v>1</v>
      </c>
      <c r="AL409" s="552">
        <v>1</v>
      </c>
      <c r="AM409" s="552">
        <v>0</v>
      </c>
      <c r="AN409" s="552">
        <v>0</v>
      </c>
      <c r="AO409" s="552">
        <v>1</v>
      </c>
      <c r="AP409" s="552">
        <v>1</v>
      </c>
      <c r="AQ409" s="552">
        <v>1</v>
      </c>
      <c r="AR409" s="552">
        <v>1</v>
      </c>
      <c r="AS409" s="552">
        <v>1</v>
      </c>
      <c r="AT409" s="552">
        <v>1</v>
      </c>
      <c r="AU409" s="552">
        <v>1</v>
      </c>
      <c r="AV409" s="553" t="str">
        <f>IF(H409="YES",IF($AV$2="Y","'"&amp;INDEX('Structure Groups'!$C$12:$C$14,MATCH($B$5,'Structure Groups'!$B$12:$B$14,0),1)&amp;"'","'"&amp;INDEX('Structure Groups'!$C$16:$C$18,MATCH($B$5,'Structure Groups'!$B$16:$B$18,0),1)&amp;"'"),IF($AV$2="Y","'All'","'Stop'"))</f>
        <v>'Stop GL Max 800m'</v>
      </c>
      <c r="AW409" s="552" t="s">
        <v>562</v>
      </c>
      <c r="AX409" s="552"/>
      <c r="AY409" s="552" t="str">
        <f t="shared" si="550"/>
        <v>Yes</v>
      </c>
      <c r="AZ409" s="554" t="str">
        <f t="shared" si="530"/>
        <v>3:1:Back</v>
      </c>
      <c r="BA409" s="554" t="str">
        <f t="shared" si="531"/>
        <v>Broken Wire (# Broken Subconductors)</v>
      </c>
      <c r="BB409" s="552">
        <f t="shared" si="532"/>
        <v>4</v>
      </c>
      <c r="BC409" s="554" t="str">
        <f t="shared" si="533"/>
        <v>13:1:Back</v>
      </c>
      <c r="BD409" s="554" t="str">
        <f t="shared" si="534"/>
        <v>Broken Wire (# Broken Subconductors)</v>
      </c>
      <c r="BE409" s="552">
        <f t="shared" si="535"/>
        <v>4</v>
      </c>
      <c r="BF409" s="554" t="str">
        <f t="shared" si="549"/>
        <v>7:1:Back</v>
      </c>
      <c r="BG409" s="554" t="str">
        <f t="shared" si="537"/>
        <v>Broken Wire (# Broken Subconductors)</v>
      </c>
      <c r="BH409" s="552">
        <f t="shared" si="538"/>
        <v>4</v>
      </c>
      <c r="BI409" s="554" t="str">
        <f t="shared" si="539"/>
        <v>17:1:Back</v>
      </c>
      <c r="BJ409" s="554" t="str">
        <f t="shared" si="540"/>
        <v>Broken Wire (# Broken Subconductors)</v>
      </c>
      <c r="BK409" s="552">
        <f t="shared" si="541"/>
        <v>4</v>
      </c>
      <c r="BL409" s="554" t="str">
        <f t="shared" si="542"/>
        <v/>
      </c>
      <c r="BM409" s="554" t="str">
        <f t="shared" si="543"/>
        <v/>
      </c>
      <c r="BN409" s="552" t="str">
        <f t="shared" si="544"/>
        <v/>
      </c>
      <c r="BO409" s="554" t="str">
        <f t="shared" si="545"/>
        <v/>
      </c>
      <c r="BP409" s="554" t="str">
        <f t="shared" si="546"/>
        <v/>
      </c>
      <c r="BQ409" s="552" t="str">
        <f t="shared" si="547"/>
        <v/>
      </c>
      <c r="BR409" s="554"/>
      <c r="BS409" s="554"/>
      <c r="BT409" s="554"/>
      <c r="BU409" s="554"/>
      <c r="BV409" s="554"/>
      <c r="BW409" s="554"/>
      <c r="BX409" s="554"/>
      <c r="BY409" s="554"/>
      <c r="BZ409" s="554"/>
      <c r="CA409" s="554"/>
      <c r="CB409" s="554"/>
      <c r="CC409" s="554"/>
      <c r="CD409" s="554"/>
      <c r="CE409" s="554"/>
      <c r="CF409" s="554"/>
      <c r="CG409" s="554"/>
      <c r="CH409" s="554"/>
      <c r="CI409" s="554"/>
      <c r="CJ409" s="554"/>
      <c r="CK409" s="554"/>
      <c r="CL409" s="554"/>
      <c r="CM409" s="554"/>
      <c r="CN409" s="554"/>
      <c r="CO409" s="554"/>
      <c r="CP409" s="554"/>
      <c r="CQ409" s="554"/>
      <c r="CR409" s="554"/>
      <c r="CS409" s="554"/>
      <c r="CT409" s="554"/>
      <c r="CU409" s="554"/>
      <c r="CV409" s="554"/>
      <c r="CW409" s="554"/>
      <c r="CX409" s="554"/>
      <c r="CY409" s="554"/>
      <c r="CZ409" s="554"/>
      <c r="DA409" s="554"/>
      <c r="DB409" s="554"/>
      <c r="DC409" s="554"/>
      <c r="DD409" s="554"/>
      <c r="DE409" s="534"/>
      <c r="DF409" s="534"/>
      <c r="DG409" s="534"/>
    </row>
    <row r="410" spans="1:111" ht="15" x14ac:dyDescent="0.25">
      <c r="A410" s="549">
        <f>IFERROR(IF(INDEX('Weather Cases'!$E$10:$E$94,MATCH('Load Criteria'!X410,'Weather Cases'!$H$10:$H$94,0),1)=1,1,"-"),"-")</f>
        <v>1</v>
      </c>
      <c r="B410" s="555" t="s">
        <v>558</v>
      </c>
      <c r="C410" s="556" t="str">
        <f>IF('Weather Cases'!$E$46=0,"","DC")</f>
        <v>DC</v>
      </c>
      <c r="D410" s="555" t="s">
        <v>579</v>
      </c>
      <c r="E410" s="556">
        <v>2</v>
      </c>
      <c r="F410" s="556" t="s">
        <v>22</v>
      </c>
      <c r="G410" s="556" t="str">
        <f>IFERROR(IF(MID('Load Criteria'!X410,FIND("_",'Load Criteria'!X410,1)+1,1)=LEFT(Control!$D$23,1),"YES","-"),"-")</f>
        <v>-</v>
      </c>
      <c r="H410" s="549" t="str">
        <f>IF(INDEX('Weather Cases'!$G$10:$G$94,MATCH('Load Criteria'!X410,'Weather Cases'!$H$10:$H$94,0),1)="H","YES","")</f>
        <v>YES</v>
      </c>
      <c r="I410" s="557" t="s">
        <v>333</v>
      </c>
      <c r="J410" s="550">
        <f>Control!$D$25</f>
        <v>1</v>
      </c>
      <c r="K410" s="508" t="s">
        <v>571</v>
      </c>
      <c r="L410" s="508" t="s">
        <v>40</v>
      </c>
      <c r="M410" s="550">
        <v>4</v>
      </c>
      <c r="N410" s="550">
        <v>5</v>
      </c>
      <c r="O410" s="550"/>
      <c r="P410" s="392"/>
      <c r="Q410" s="392"/>
      <c r="R410" s="392"/>
      <c r="S410" s="392"/>
      <c r="T410" s="392"/>
      <c r="U410" s="255" t="s">
        <v>574</v>
      </c>
      <c r="V410" s="551"/>
      <c r="W410" s="542" t="str">
        <f t="shared" si="548"/>
        <v>RI0001_8+TB45 NA-</v>
      </c>
      <c r="X410" s="552" t="str">
        <f>I410&amp;TEXT(J410,"0000")&amp;"_"&amp;LEFT(Control!$D$22,LEN(Control!$D$22)-2)</f>
        <v>RI0001_8</v>
      </c>
      <c r="Y410" s="552" t="s">
        <v>433</v>
      </c>
      <c r="Z410" s="552" t="str">
        <f t="shared" si="529"/>
        <v>NA-</v>
      </c>
      <c r="AA410" s="552"/>
      <c r="AB410" s="552">
        <v>1</v>
      </c>
      <c r="AC410" s="552">
        <v>1</v>
      </c>
      <c r="AD410" s="552">
        <v>1</v>
      </c>
      <c r="AE410" s="552">
        <v>1</v>
      </c>
      <c r="AF410" s="552">
        <v>1</v>
      </c>
      <c r="AG410" s="542" t="s">
        <v>561</v>
      </c>
      <c r="AH410" s="552">
        <v>0</v>
      </c>
      <c r="AI410" s="552">
        <v>0</v>
      </c>
      <c r="AJ410" s="552">
        <v>1</v>
      </c>
      <c r="AK410" s="552">
        <v>1</v>
      </c>
      <c r="AL410" s="552">
        <v>1</v>
      </c>
      <c r="AM410" s="552">
        <v>0</v>
      </c>
      <c r="AN410" s="552">
        <v>0</v>
      </c>
      <c r="AO410" s="552">
        <v>1</v>
      </c>
      <c r="AP410" s="552">
        <v>1</v>
      </c>
      <c r="AQ410" s="552">
        <v>1</v>
      </c>
      <c r="AR410" s="552">
        <v>1</v>
      </c>
      <c r="AS410" s="552">
        <v>1</v>
      </c>
      <c r="AT410" s="552">
        <v>1</v>
      </c>
      <c r="AU410" s="552">
        <v>1</v>
      </c>
      <c r="AV410" s="553" t="str">
        <f>IF(H410="YES",IF($AV$2="Y","'"&amp;INDEX('Structure Groups'!$C$12:$C$14,MATCH($B$5,'Structure Groups'!$B$12:$B$14,0),1)&amp;"'","'"&amp;INDEX('Structure Groups'!$C$16:$C$18,MATCH($B$5,'Structure Groups'!$B$16:$B$18,0),1)&amp;"'"),IF($AV$2="Y","'All'","'Stop'"))</f>
        <v>'Stop GL Max 800m'</v>
      </c>
      <c r="AW410" s="552" t="s">
        <v>562</v>
      </c>
      <c r="AX410" s="552"/>
      <c r="AY410" s="552" t="str">
        <f t="shared" si="550"/>
        <v>Yes</v>
      </c>
      <c r="AZ410" s="554" t="str">
        <f t="shared" si="530"/>
        <v>4:1:Back</v>
      </c>
      <c r="BA410" s="554" t="str">
        <f t="shared" si="531"/>
        <v>Broken Wire (# Broken Subconductors)</v>
      </c>
      <c r="BB410" s="552">
        <f t="shared" si="532"/>
        <v>4</v>
      </c>
      <c r="BC410" s="554" t="str">
        <f t="shared" si="533"/>
        <v>14:1:Back</v>
      </c>
      <c r="BD410" s="554" t="str">
        <f t="shared" si="534"/>
        <v>Broken Wire (# Broken Subconductors)</v>
      </c>
      <c r="BE410" s="552">
        <f t="shared" si="535"/>
        <v>4</v>
      </c>
      <c r="BF410" s="554" t="str">
        <f t="shared" si="549"/>
        <v>5:1:Back</v>
      </c>
      <c r="BG410" s="554" t="str">
        <f t="shared" si="537"/>
        <v>Broken Wire (# Broken Subconductors)</v>
      </c>
      <c r="BH410" s="552">
        <f t="shared" si="538"/>
        <v>4</v>
      </c>
      <c r="BI410" s="554" t="str">
        <f t="shared" si="539"/>
        <v>15:1:Back</v>
      </c>
      <c r="BJ410" s="554" t="str">
        <f t="shared" si="540"/>
        <v>Broken Wire (# Broken Subconductors)</v>
      </c>
      <c r="BK410" s="552">
        <f t="shared" si="541"/>
        <v>4</v>
      </c>
      <c r="BL410" s="554" t="str">
        <f t="shared" si="542"/>
        <v/>
      </c>
      <c r="BM410" s="554" t="str">
        <f t="shared" si="543"/>
        <v/>
      </c>
      <c r="BN410" s="552" t="str">
        <f t="shared" si="544"/>
        <v/>
      </c>
      <c r="BO410" s="554" t="str">
        <f t="shared" si="545"/>
        <v/>
      </c>
      <c r="BP410" s="554" t="str">
        <f t="shared" si="546"/>
        <v/>
      </c>
      <c r="BQ410" s="552" t="str">
        <f t="shared" si="547"/>
        <v/>
      </c>
      <c r="BR410" s="554"/>
      <c r="BS410" s="554"/>
      <c r="BT410" s="554"/>
      <c r="BU410" s="554"/>
      <c r="BV410" s="554"/>
      <c r="BW410" s="554"/>
      <c r="BX410" s="554"/>
      <c r="BY410" s="554"/>
      <c r="BZ410" s="554"/>
      <c r="CA410" s="554"/>
      <c r="CB410" s="554"/>
      <c r="CC410" s="554"/>
      <c r="CD410" s="554"/>
      <c r="CE410" s="554"/>
      <c r="CF410" s="554"/>
      <c r="CG410" s="554"/>
      <c r="CH410" s="554"/>
      <c r="CI410" s="554"/>
      <c r="CJ410" s="554"/>
      <c r="CK410" s="554"/>
      <c r="CL410" s="554"/>
      <c r="CM410" s="554"/>
      <c r="CN410" s="554"/>
      <c r="CO410" s="554"/>
      <c r="CP410" s="554"/>
      <c r="CQ410" s="554"/>
      <c r="CR410" s="554"/>
      <c r="CS410" s="554"/>
      <c r="CT410" s="554"/>
      <c r="CU410" s="554"/>
      <c r="CV410" s="554"/>
      <c r="CW410" s="554"/>
      <c r="CX410" s="554"/>
      <c r="CY410" s="554"/>
      <c r="CZ410" s="554"/>
      <c r="DA410" s="554"/>
      <c r="DB410" s="554"/>
      <c r="DC410" s="554"/>
      <c r="DD410" s="554"/>
      <c r="DE410" s="534"/>
      <c r="DF410" s="534"/>
      <c r="DG410" s="534"/>
    </row>
    <row r="411" spans="1:111" ht="15" x14ac:dyDescent="0.25">
      <c r="A411" s="549">
        <f>IFERROR(IF(INDEX('Weather Cases'!$E$10:$E$94,MATCH('Load Criteria'!X411,'Weather Cases'!$H$10:$H$94,0),1)=1,1,"-"),"-")</f>
        <v>1</v>
      </c>
      <c r="B411" s="555" t="s">
        <v>558</v>
      </c>
      <c r="C411" s="556" t="str">
        <f>IF('Weather Cases'!$E$46=0,"","DC")</f>
        <v>DC</v>
      </c>
      <c r="D411" s="555" t="s">
        <v>579</v>
      </c>
      <c r="E411" s="556">
        <v>2</v>
      </c>
      <c r="F411" s="556" t="s">
        <v>22</v>
      </c>
      <c r="G411" s="556" t="str">
        <f>IFERROR(IF(MID('Load Criteria'!X411,FIND("_",'Load Criteria'!X411,1)+1,1)=LEFT(Control!$D$23,1),"YES","-"),"-")</f>
        <v>-</v>
      </c>
      <c r="H411" s="549" t="str">
        <f>IF(INDEX('Weather Cases'!$G$10:$G$94,MATCH('Load Criteria'!X411,'Weather Cases'!$H$10:$H$94,0),1)="H","YES","")</f>
        <v>YES</v>
      </c>
      <c r="I411" s="557" t="s">
        <v>333</v>
      </c>
      <c r="J411" s="550">
        <f>Control!$D$25</f>
        <v>1</v>
      </c>
      <c r="K411" s="508" t="s">
        <v>571</v>
      </c>
      <c r="L411" s="508" t="s">
        <v>40</v>
      </c>
      <c r="M411" s="550">
        <v>4</v>
      </c>
      <c r="N411" s="550">
        <v>6</v>
      </c>
      <c r="O411" s="550"/>
      <c r="P411" s="392"/>
      <c r="Q411" s="392"/>
      <c r="R411" s="392"/>
      <c r="S411" s="392"/>
      <c r="T411" s="392"/>
      <c r="U411" s="255" t="s">
        <v>574</v>
      </c>
      <c r="V411" s="551"/>
      <c r="W411" s="542" t="str">
        <f t="shared" si="548"/>
        <v>RI0001_8+TB46 NA-</v>
      </c>
      <c r="X411" s="552" t="str">
        <f>I411&amp;TEXT(J411,"0000")&amp;"_"&amp;LEFT(Control!$D$22,LEN(Control!$D$22)-2)</f>
        <v>RI0001_8</v>
      </c>
      <c r="Y411" s="552" t="s">
        <v>433</v>
      </c>
      <c r="Z411" s="552" t="str">
        <f t="shared" si="529"/>
        <v>NA-</v>
      </c>
      <c r="AA411" s="552"/>
      <c r="AB411" s="552">
        <v>1</v>
      </c>
      <c r="AC411" s="552">
        <v>1</v>
      </c>
      <c r="AD411" s="552">
        <v>1</v>
      </c>
      <c r="AE411" s="552">
        <v>1</v>
      </c>
      <c r="AF411" s="552">
        <v>1</v>
      </c>
      <c r="AG411" s="542" t="s">
        <v>561</v>
      </c>
      <c r="AH411" s="552">
        <v>0</v>
      </c>
      <c r="AI411" s="552">
        <v>0</v>
      </c>
      <c r="AJ411" s="552">
        <v>1</v>
      </c>
      <c r="AK411" s="552">
        <v>1</v>
      </c>
      <c r="AL411" s="552">
        <v>1</v>
      </c>
      <c r="AM411" s="552">
        <v>0</v>
      </c>
      <c r="AN411" s="552">
        <v>0</v>
      </c>
      <c r="AO411" s="552">
        <v>1</v>
      </c>
      <c r="AP411" s="552">
        <v>1</v>
      </c>
      <c r="AQ411" s="552">
        <v>1</v>
      </c>
      <c r="AR411" s="552">
        <v>1</v>
      </c>
      <c r="AS411" s="552">
        <v>1</v>
      </c>
      <c r="AT411" s="552">
        <v>1</v>
      </c>
      <c r="AU411" s="552">
        <v>1</v>
      </c>
      <c r="AV411" s="553" t="str">
        <f>IF(H411="YES",IF($AV$2="Y","'"&amp;INDEX('Structure Groups'!$C$12:$C$14,MATCH($B$5,'Structure Groups'!$B$12:$B$14,0),1)&amp;"'","'"&amp;INDEX('Structure Groups'!$C$16:$C$18,MATCH($B$5,'Structure Groups'!$B$16:$B$18,0),1)&amp;"'"),IF($AV$2="Y","'All'","'Stop'"))</f>
        <v>'Stop GL Max 800m'</v>
      </c>
      <c r="AW411" s="552" t="s">
        <v>562</v>
      </c>
      <c r="AX411" s="552"/>
      <c r="AY411" s="552" t="str">
        <f t="shared" si="550"/>
        <v>Yes</v>
      </c>
      <c r="AZ411" s="554" t="str">
        <f t="shared" si="530"/>
        <v>4:1:Back</v>
      </c>
      <c r="BA411" s="554" t="str">
        <f t="shared" si="531"/>
        <v>Broken Wire (# Broken Subconductors)</v>
      </c>
      <c r="BB411" s="552">
        <f t="shared" si="532"/>
        <v>4</v>
      </c>
      <c r="BC411" s="554" t="str">
        <f t="shared" si="533"/>
        <v>14:1:Back</v>
      </c>
      <c r="BD411" s="554" t="str">
        <f t="shared" si="534"/>
        <v>Broken Wire (# Broken Subconductors)</v>
      </c>
      <c r="BE411" s="552">
        <f t="shared" si="535"/>
        <v>4</v>
      </c>
      <c r="BF411" s="554" t="str">
        <f t="shared" si="549"/>
        <v>6:1:Back</v>
      </c>
      <c r="BG411" s="554" t="str">
        <f t="shared" si="537"/>
        <v>Broken Wire (# Broken Subconductors)</v>
      </c>
      <c r="BH411" s="552">
        <f t="shared" si="538"/>
        <v>4</v>
      </c>
      <c r="BI411" s="554" t="str">
        <f t="shared" si="539"/>
        <v>16:1:Back</v>
      </c>
      <c r="BJ411" s="554" t="str">
        <f t="shared" si="540"/>
        <v>Broken Wire (# Broken Subconductors)</v>
      </c>
      <c r="BK411" s="552">
        <f t="shared" si="541"/>
        <v>4</v>
      </c>
      <c r="BL411" s="554" t="str">
        <f t="shared" si="542"/>
        <v/>
      </c>
      <c r="BM411" s="554" t="str">
        <f t="shared" si="543"/>
        <v/>
      </c>
      <c r="BN411" s="552" t="str">
        <f t="shared" si="544"/>
        <v/>
      </c>
      <c r="BO411" s="554" t="str">
        <f t="shared" si="545"/>
        <v/>
      </c>
      <c r="BP411" s="554" t="str">
        <f t="shared" si="546"/>
        <v/>
      </c>
      <c r="BQ411" s="552" t="str">
        <f t="shared" si="547"/>
        <v/>
      </c>
      <c r="BR411" s="554"/>
      <c r="BS411" s="554"/>
      <c r="BT411" s="554"/>
      <c r="BU411" s="554"/>
      <c r="BV411" s="554"/>
      <c r="BW411" s="554"/>
      <c r="BX411" s="554"/>
      <c r="BY411" s="554"/>
      <c r="BZ411" s="554"/>
      <c r="CA411" s="554"/>
      <c r="CB411" s="554"/>
      <c r="CC411" s="554"/>
      <c r="CD411" s="554"/>
      <c r="CE411" s="554"/>
      <c r="CF411" s="554"/>
      <c r="CG411" s="554"/>
      <c r="CH411" s="554"/>
      <c r="CI411" s="554"/>
      <c r="CJ411" s="554"/>
      <c r="CK411" s="554"/>
      <c r="CL411" s="554"/>
      <c r="CM411" s="554"/>
      <c r="CN411" s="554"/>
      <c r="CO411" s="554"/>
      <c r="CP411" s="554"/>
      <c r="CQ411" s="554"/>
      <c r="CR411" s="554"/>
      <c r="CS411" s="554"/>
      <c r="CT411" s="554"/>
      <c r="CU411" s="554"/>
      <c r="CV411" s="554"/>
      <c r="CW411" s="554"/>
      <c r="CX411" s="554"/>
      <c r="CY411" s="554"/>
      <c r="CZ411" s="554"/>
      <c r="DA411" s="554"/>
      <c r="DB411" s="554"/>
      <c r="DC411" s="554"/>
      <c r="DD411" s="554"/>
      <c r="DE411" s="534"/>
      <c r="DF411" s="534"/>
      <c r="DG411" s="534"/>
    </row>
    <row r="412" spans="1:111" ht="15" x14ac:dyDescent="0.25">
      <c r="A412" s="549">
        <f>IFERROR(IF(INDEX('Weather Cases'!$E$10:$E$94,MATCH('Load Criteria'!X412,'Weather Cases'!$H$10:$H$94,0),1)=1,1,"-"),"-")</f>
        <v>1</v>
      </c>
      <c r="B412" s="555" t="s">
        <v>558</v>
      </c>
      <c r="C412" s="556" t="str">
        <f>IF('Weather Cases'!$E$46=0,"","DC")</f>
        <v>DC</v>
      </c>
      <c r="D412" s="555" t="s">
        <v>579</v>
      </c>
      <c r="E412" s="556">
        <v>2</v>
      </c>
      <c r="F412" s="556" t="s">
        <v>22</v>
      </c>
      <c r="G412" s="556" t="str">
        <f>IFERROR(IF(MID('Load Criteria'!X412,FIND("_",'Load Criteria'!X412,1)+1,1)=LEFT(Control!$D$23,1),"YES","-"),"-")</f>
        <v>-</v>
      </c>
      <c r="H412" s="549" t="str">
        <f>IF(INDEX('Weather Cases'!$G$10:$G$94,MATCH('Load Criteria'!X412,'Weather Cases'!$H$10:$H$94,0),1)="H","YES","")</f>
        <v>YES</v>
      </c>
      <c r="I412" s="557" t="s">
        <v>333</v>
      </c>
      <c r="J412" s="550">
        <f>Control!$D$25</f>
        <v>1</v>
      </c>
      <c r="K412" s="508" t="s">
        <v>571</v>
      </c>
      <c r="L412" s="508" t="s">
        <v>40</v>
      </c>
      <c r="M412" s="550">
        <v>5</v>
      </c>
      <c r="N412" s="550">
        <v>6</v>
      </c>
      <c r="O412" s="550"/>
      <c r="P412" s="392"/>
      <c r="Q412" s="392"/>
      <c r="R412" s="392"/>
      <c r="S412" s="392"/>
      <c r="T412" s="392"/>
      <c r="U412" s="255" t="s">
        <v>574</v>
      </c>
      <c r="V412" s="551"/>
      <c r="W412" s="542" t="str">
        <f t="shared" si="548"/>
        <v>RI0001_8+TB56 NA-</v>
      </c>
      <c r="X412" s="552" t="str">
        <f>I412&amp;TEXT(J412,"0000")&amp;"_"&amp;LEFT(Control!$D$22,LEN(Control!$D$22)-2)</f>
        <v>RI0001_8</v>
      </c>
      <c r="Y412" s="552" t="s">
        <v>433</v>
      </c>
      <c r="Z412" s="552" t="str">
        <f t="shared" si="529"/>
        <v>NA-</v>
      </c>
      <c r="AA412" s="552"/>
      <c r="AB412" s="552">
        <v>1</v>
      </c>
      <c r="AC412" s="552">
        <v>1</v>
      </c>
      <c r="AD412" s="552">
        <v>1</v>
      </c>
      <c r="AE412" s="552">
        <v>1</v>
      </c>
      <c r="AF412" s="552">
        <v>1</v>
      </c>
      <c r="AG412" s="542" t="s">
        <v>561</v>
      </c>
      <c r="AH412" s="552">
        <v>0</v>
      </c>
      <c r="AI412" s="552">
        <v>0</v>
      </c>
      <c r="AJ412" s="552">
        <v>1</v>
      </c>
      <c r="AK412" s="552">
        <v>1</v>
      </c>
      <c r="AL412" s="552">
        <v>1</v>
      </c>
      <c r="AM412" s="552">
        <v>0</v>
      </c>
      <c r="AN412" s="552">
        <v>0</v>
      </c>
      <c r="AO412" s="552">
        <v>1</v>
      </c>
      <c r="AP412" s="552">
        <v>1</v>
      </c>
      <c r="AQ412" s="552">
        <v>1</v>
      </c>
      <c r="AR412" s="552">
        <v>1</v>
      </c>
      <c r="AS412" s="552">
        <v>1</v>
      </c>
      <c r="AT412" s="552">
        <v>1</v>
      </c>
      <c r="AU412" s="552">
        <v>1</v>
      </c>
      <c r="AV412" s="553" t="str">
        <f>IF(H412="YES",IF($AV$2="Y","'"&amp;INDEX('Structure Groups'!$C$12:$C$14,MATCH($B$5,'Structure Groups'!$B$12:$B$14,0),1)&amp;"'","'"&amp;INDEX('Structure Groups'!$C$16:$C$18,MATCH($B$5,'Structure Groups'!$B$16:$B$18,0),1)&amp;"'"),IF($AV$2="Y","'All'","'Stop'"))</f>
        <v>'Stop GL Max 800m'</v>
      </c>
      <c r="AW412" s="552" t="s">
        <v>562</v>
      </c>
      <c r="AX412" s="552"/>
      <c r="AY412" s="552" t="str">
        <f t="shared" si="550"/>
        <v>Yes</v>
      </c>
      <c r="AZ412" s="554" t="str">
        <f t="shared" si="530"/>
        <v>5:1:Back</v>
      </c>
      <c r="BA412" s="554" t="str">
        <f t="shared" si="531"/>
        <v>Broken Wire (# Broken Subconductors)</v>
      </c>
      <c r="BB412" s="552">
        <f t="shared" si="532"/>
        <v>4</v>
      </c>
      <c r="BC412" s="554" t="str">
        <f t="shared" si="533"/>
        <v>15:1:Back</v>
      </c>
      <c r="BD412" s="554" t="str">
        <f t="shared" si="534"/>
        <v>Broken Wire (# Broken Subconductors)</v>
      </c>
      <c r="BE412" s="552">
        <f t="shared" si="535"/>
        <v>4</v>
      </c>
      <c r="BF412" s="554" t="str">
        <f t="shared" si="549"/>
        <v>6:1:Back</v>
      </c>
      <c r="BG412" s="554" t="str">
        <f t="shared" si="537"/>
        <v>Broken Wire (# Broken Subconductors)</v>
      </c>
      <c r="BH412" s="552">
        <f t="shared" si="538"/>
        <v>4</v>
      </c>
      <c r="BI412" s="554" t="str">
        <f t="shared" si="539"/>
        <v>16:1:Back</v>
      </c>
      <c r="BJ412" s="554" t="str">
        <f t="shared" si="540"/>
        <v>Broken Wire (# Broken Subconductors)</v>
      </c>
      <c r="BK412" s="552">
        <f t="shared" si="541"/>
        <v>4</v>
      </c>
      <c r="BL412" s="554" t="str">
        <f t="shared" si="542"/>
        <v/>
      </c>
      <c r="BM412" s="554" t="str">
        <f t="shared" si="543"/>
        <v/>
      </c>
      <c r="BN412" s="552" t="str">
        <f t="shared" si="544"/>
        <v/>
      </c>
      <c r="BO412" s="554" t="str">
        <f t="shared" si="545"/>
        <v/>
      </c>
      <c r="BP412" s="554" t="str">
        <f t="shared" si="546"/>
        <v/>
      </c>
      <c r="BQ412" s="552" t="str">
        <f t="shared" si="547"/>
        <v/>
      </c>
      <c r="BR412" s="554"/>
      <c r="BS412" s="554"/>
      <c r="BT412" s="554"/>
      <c r="BU412" s="554"/>
      <c r="BV412" s="554"/>
      <c r="BW412" s="554"/>
      <c r="BX412" s="554"/>
      <c r="BY412" s="554"/>
      <c r="BZ412" s="554"/>
      <c r="CA412" s="554"/>
      <c r="CB412" s="554"/>
      <c r="CC412" s="554"/>
      <c r="CD412" s="554"/>
      <c r="CE412" s="554"/>
      <c r="CF412" s="554"/>
      <c r="CG412" s="554"/>
      <c r="CH412" s="554"/>
      <c r="CI412" s="554"/>
      <c r="CJ412" s="554"/>
      <c r="CK412" s="554"/>
      <c r="CL412" s="554"/>
      <c r="CM412" s="554"/>
      <c r="CN412" s="554"/>
      <c r="CO412" s="554"/>
      <c r="CP412" s="554"/>
      <c r="CQ412" s="554"/>
      <c r="CR412" s="554"/>
      <c r="CS412" s="554"/>
      <c r="CT412" s="554"/>
      <c r="CU412" s="554"/>
      <c r="CV412" s="554"/>
      <c r="CW412" s="554"/>
      <c r="CX412" s="554"/>
      <c r="CY412" s="554"/>
      <c r="CZ412" s="554"/>
      <c r="DA412" s="554"/>
      <c r="DB412" s="554"/>
      <c r="DC412" s="554"/>
      <c r="DD412" s="554"/>
      <c r="DE412" s="534"/>
      <c r="DF412" s="534"/>
      <c r="DG412" s="534"/>
    </row>
    <row r="413" spans="1:111" ht="15" x14ac:dyDescent="0.25">
      <c r="A413" s="549">
        <f>IFERROR(IF(INDEX('Weather Cases'!$E$10:$E$94,MATCH('Load Criteria'!X413,'Weather Cases'!$H$10:$H$94,0),1)=1,1,"-"),"-")</f>
        <v>1</v>
      </c>
      <c r="B413" s="555" t="s">
        <v>558</v>
      </c>
      <c r="C413" s="556" t="str">
        <f>IF('Weather Cases'!$E$46=0,"","DC")</f>
        <v>DC</v>
      </c>
      <c r="D413" s="555" t="s">
        <v>579</v>
      </c>
      <c r="E413" s="556">
        <v>2</v>
      </c>
      <c r="F413" s="555" t="s">
        <v>581</v>
      </c>
      <c r="G413" s="556" t="str">
        <f>IFERROR(IF(MID('Load Criteria'!X413,FIND("_",'Load Criteria'!X413,1)+1,1)=LEFT(Control!$D$23,1),"YES","-"),"-")</f>
        <v>-</v>
      </c>
      <c r="H413" s="549" t="str">
        <f>IF(INDEX('Weather Cases'!$G$10:$G$94,MATCH('Load Criteria'!X413,'Weather Cases'!$H$10:$H$94,0),1)="H","YES","")</f>
        <v>YES</v>
      </c>
      <c r="I413" s="557" t="s">
        <v>333</v>
      </c>
      <c r="J413" s="550">
        <f>Control!$D$25</f>
        <v>1</v>
      </c>
      <c r="K413" s="508" t="s">
        <v>571</v>
      </c>
      <c r="L413" s="508" t="s">
        <v>40</v>
      </c>
      <c r="M413" s="550">
        <v>6</v>
      </c>
      <c r="N413" s="550">
        <v>8</v>
      </c>
      <c r="O413" s="550"/>
      <c r="P413" s="392"/>
      <c r="Q413" s="392"/>
      <c r="R413" s="392"/>
      <c r="S413" s="392"/>
      <c r="T413" s="392"/>
      <c r="U413" s="255" t="s">
        <v>574</v>
      </c>
      <c r="V413" s="551"/>
      <c r="W413" s="542" t="str">
        <f t="shared" si="548"/>
        <v>RI0001_8+TB68 NA-</v>
      </c>
      <c r="X413" s="552" t="str">
        <f>I413&amp;TEXT(J413,"0000")&amp;"_"&amp;LEFT(Control!$D$22,LEN(Control!$D$22)-2)</f>
        <v>RI0001_8</v>
      </c>
      <c r="Y413" s="552" t="s">
        <v>433</v>
      </c>
      <c r="Z413" s="552" t="str">
        <f t="shared" si="529"/>
        <v>NA-</v>
      </c>
      <c r="AA413" s="552"/>
      <c r="AB413" s="552">
        <v>1</v>
      </c>
      <c r="AC413" s="552">
        <v>1</v>
      </c>
      <c r="AD413" s="552">
        <v>1</v>
      </c>
      <c r="AE413" s="552">
        <v>1</v>
      </c>
      <c r="AF413" s="552">
        <v>1</v>
      </c>
      <c r="AG413" s="542" t="s">
        <v>561</v>
      </c>
      <c r="AH413" s="552">
        <v>0</v>
      </c>
      <c r="AI413" s="552">
        <v>0</v>
      </c>
      <c r="AJ413" s="552">
        <v>1</v>
      </c>
      <c r="AK413" s="552">
        <v>1</v>
      </c>
      <c r="AL413" s="552">
        <v>1</v>
      </c>
      <c r="AM413" s="552">
        <v>0</v>
      </c>
      <c r="AN413" s="552">
        <v>0</v>
      </c>
      <c r="AO413" s="552">
        <v>1</v>
      </c>
      <c r="AP413" s="552">
        <v>1</v>
      </c>
      <c r="AQ413" s="552">
        <v>1</v>
      </c>
      <c r="AR413" s="552">
        <v>1</v>
      </c>
      <c r="AS413" s="552">
        <v>1</v>
      </c>
      <c r="AT413" s="552">
        <v>1</v>
      </c>
      <c r="AU413" s="552">
        <v>1</v>
      </c>
      <c r="AV413" s="553" t="str">
        <f>IF(H413="YES",IF($AV$2="Y","'"&amp;INDEX('Structure Groups'!$C$12:$C$14,MATCH($B$5,'Structure Groups'!$B$12:$B$14,0),1)&amp;"'","'"&amp;INDEX('Structure Groups'!$C$16:$C$18,MATCH($B$5,'Structure Groups'!$B$16:$B$18,0),1)&amp;"'"),IF($AV$2="Y","'All'","'Stop'"))</f>
        <v>'Stop GL Max 800m'</v>
      </c>
      <c r="AW413" s="552" t="s">
        <v>562</v>
      </c>
      <c r="AX413" s="552"/>
      <c r="AY413" s="552" t="str">
        <f t="shared" si="550"/>
        <v>Yes</v>
      </c>
      <c r="AZ413" s="554" t="str">
        <f t="shared" si="530"/>
        <v>6:1:Back</v>
      </c>
      <c r="BA413" s="554" t="str">
        <f t="shared" si="531"/>
        <v>Broken Wire (# Broken Subconductors)</v>
      </c>
      <c r="BB413" s="552">
        <f t="shared" si="532"/>
        <v>4</v>
      </c>
      <c r="BC413" s="554" t="str">
        <f t="shared" si="533"/>
        <v>16:1:Back</v>
      </c>
      <c r="BD413" s="554" t="str">
        <f t="shared" si="534"/>
        <v>Broken Wire (# Broken Subconductors)</v>
      </c>
      <c r="BE413" s="552">
        <f t="shared" si="535"/>
        <v>4</v>
      </c>
      <c r="BF413" s="554" t="str">
        <f t="shared" si="549"/>
        <v>8:1:Back</v>
      </c>
      <c r="BG413" s="554" t="str">
        <f t="shared" si="537"/>
        <v>Broken Wire (# Broken Subconductors)</v>
      </c>
      <c r="BH413" s="552">
        <f t="shared" si="538"/>
        <v>4</v>
      </c>
      <c r="BI413" s="554" t="str">
        <f t="shared" si="539"/>
        <v>18:1:Back</v>
      </c>
      <c r="BJ413" s="554" t="str">
        <f t="shared" si="540"/>
        <v>Broken Wire (# Broken Subconductors)</v>
      </c>
      <c r="BK413" s="552">
        <f t="shared" si="541"/>
        <v>4</v>
      </c>
      <c r="BL413" s="554" t="str">
        <f t="shared" si="542"/>
        <v/>
      </c>
      <c r="BM413" s="554" t="str">
        <f t="shared" si="543"/>
        <v/>
      </c>
      <c r="BN413" s="552" t="str">
        <f t="shared" si="544"/>
        <v/>
      </c>
      <c r="BO413" s="554" t="str">
        <f t="shared" si="545"/>
        <v/>
      </c>
      <c r="BP413" s="554" t="str">
        <f t="shared" si="546"/>
        <v/>
      </c>
      <c r="BQ413" s="552" t="str">
        <f t="shared" si="547"/>
        <v/>
      </c>
      <c r="BR413" s="554"/>
      <c r="BS413" s="554"/>
      <c r="BT413" s="554"/>
      <c r="BU413" s="554"/>
      <c r="BV413" s="554"/>
      <c r="BW413" s="554"/>
      <c r="BX413" s="554"/>
      <c r="BY413" s="554"/>
      <c r="BZ413" s="554"/>
      <c r="CA413" s="554"/>
      <c r="CB413" s="554"/>
      <c r="CC413" s="554"/>
      <c r="CD413" s="554"/>
      <c r="CE413" s="554"/>
      <c r="CF413" s="554"/>
      <c r="CG413" s="554"/>
      <c r="CH413" s="554"/>
      <c r="CI413" s="554"/>
      <c r="CJ413" s="554"/>
      <c r="CK413" s="554"/>
      <c r="CL413" s="554"/>
      <c r="CM413" s="554"/>
      <c r="CN413" s="554"/>
      <c r="CO413" s="554"/>
      <c r="CP413" s="554"/>
      <c r="CQ413" s="554"/>
      <c r="CR413" s="554"/>
      <c r="CS413" s="554"/>
      <c r="CT413" s="554"/>
      <c r="CU413" s="554"/>
      <c r="CV413" s="554"/>
      <c r="CW413" s="554"/>
      <c r="CX413" s="554"/>
      <c r="CY413" s="554"/>
      <c r="CZ413" s="554"/>
      <c r="DA413" s="554"/>
      <c r="DB413" s="554"/>
      <c r="DC413" s="554"/>
      <c r="DD413" s="554"/>
      <c r="DE413" s="534"/>
      <c r="DF413" s="534"/>
      <c r="DG413" s="534"/>
    </row>
    <row r="414" spans="1:111" ht="15" hidden="1" x14ac:dyDescent="0.25">
      <c r="A414" s="549" t="str">
        <f>IFERROR(IF(INDEX('Weather Cases'!$E$10:$E$94,MATCH('Load Criteria'!X414,'Weather Cases'!$H$10:$H$94,0),1)=1,1,"-"),"-")</f>
        <v>-</v>
      </c>
      <c r="B414" s="556" t="s">
        <v>22</v>
      </c>
      <c r="C414" s="556" t="s">
        <v>22</v>
      </c>
      <c r="D414" s="556" t="s">
        <v>22</v>
      </c>
      <c r="E414" s="556" t="s">
        <v>22</v>
      </c>
      <c r="F414" s="556" t="s">
        <v>22</v>
      </c>
      <c r="G414" s="556" t="str">
        <f>IFERROR(IF(MID('Load Criteria'!X414,FIND("_",'Load Criteria'!X414,1)+1,1)=LEFT(Control!$D$23,1),"YES","-"),"-")</f>
        <v>-</v>
      </c>
      <c r="H414" s="549" t="s">
        <v>22</v>
      </c>
      <c r="I414" s="509" t="s">
        <v>584</v>
      </c>
      <c r="J414" s="534"/>
      <c r="K414" s="534"/>
      <c r="L414" s="534"/>
      <c r="M414" s="534"/>
      <c r="N414" s="534"/>
      <c r="O414" s="534"/>
      <c r="P414" s="510"/>
      <c r="Q414" s="510"/>
      <c r="R414" s="510"/>
      <c r="S414" s="510"/>
      <c r="T414" s="510"/>
      <c r="U414" s="534"/>
      <c r="V414" s="534"/>
      <c r="W414" s="563"/>
      <c r="X414" s="563"/>
      <c r="Y414" s="563"/>
      <c r="Z414" s="563"/>
      <c r="AA414" s="563"/>
      <c r="AB414" s="563"/>
      <c r="AC414" s="563"/>
      <c r="AD414" s="563"/>
      <c r="AE414" s="563"/>
      <c r="AF414" s="563"/>
      <c r="AG414" s="563"/>
      <c r="AH414" s="563"/>
      <c r="AI414" s="563"/>
      <c r="AJ414" s="563"/>
      <c r="AK414" s="563"/>
      <c r="AL414" s="563"/>
      <c r="AM414" s="554"/>
      <c r="AN414" s="554"/>
      <c r="AO414" s="554"/>
      <c r="AP414" s="554"/>
      <c r="AQ414" s="554"/>
      <c r="AR414" s="554"/>
      <c r="AS414" s="554"/>
      <c r="AT414" s="554"/>
      <c r="AU414" s="554"/>
      <c r="AV414" s="553"/>
      <c r="AW414" s="554"/>
      <c r="AX414" s="554"/>
      <c r="AY414" s="554"/>
      <c r="AZ414" s="554"/>
      <c r="BA414" s="554"/>
      <c r="BB414" s="552"/>
      <c r="BC414" s="554"/>
      <c r="BD414" s="552"/>
      <c r="BE414" s="554"/>
      <c r="BF414" s="554"/>
      <c r="BG414" s="554"/>
      <c r="BH414" s="554"/>
      <c r="BI414" s="554"/>
      <c r="BJ414" s="554"/>
      <c r="BK414" s="554"/>
      <c r="BL414" s="554"/>
      <c r="BM414" s="554"/>
      <c r="BN414" s="554"/>
      <c r="BO414" s="554"/>
      <c r="BP414" s="554"/>
      <c r="BQ414" s="554"/>
      <c r="BR414" s="554"/>
      <c r="BS414" s="554"/>
      <c r="BT414" s="554"/>
      <c r="BU414" s="554"/>
      <c r="BV414" s="554"/>
      <c r="BW414" s="554"/>
      <c r="BX414" s="554"/>
      <c r="BY414" s="554"/>
      <c r="BZ414" s="554"/>
      <c r="CA414" s="554"/>
      <c r="CB414" s="554"/>
      <c r="CC414" s="554"/>
      <c r="CD414" s="554"/>
      <c r="CE414" s="554"/>
      <c r="CF414" s="554"/>
      <c r="CG414" s="554"/>
      <c r="CH414" s="554"/>
      <c r="CI414" s="554"/>
      <c r="CJ414" s="554"/>
      <c r="CK414" s="554"/>
      <c r="CL414" s="554"/>
      <c r="CM414" s="554"/>
      <c r="CN414" s="554"/>
      <c r="CO414" s="554"/>
      <c r="CP414" s="554"/>
      <c r="CQ414" s="554"/>
      <c r="CR414" s="554"/>
      <c r="CS414" s="554"/>
      <c r="CT414" s="554"/>
      <c r="CU414" s="554"/>
      <c r="CV414" s="554"/>
      <c r="CW414" s="554"/>
      <c r="CX414" s="554"/>
      <c r="CY414" s="554"/>
      <c r="CZ414" s="554"/>
      <c r="DA414" s="554"/>
      <c r="DB414" s="554"/>
      <c r="DC414" s="554"/>
      <c r="DD414" s="554"/>
      <c r="DE414" s="534"/>
      <c r="DF414" s="534"/>
      <c r="DG414" s="534"/>
    </row>
    <row r="415" spans="1:111" ht="15" x14ac:dyDescent="0.25">
      <c r="A415" s="549">
        <f>IFERROR(IF(INDEX('Weather Cases'!$E$10:$E$94,MATCH('Load Criteria'!X415,'Weather Cases'!$H$10:$H$94,0),1)=1,1,"-"),"-")</f>
        <v>1</v>
      </c>
      <c r="B415" s="555" t="s">
        <v>558</v>
      </c>
      <c r="C415" s="556" t="str">
        <f>IF('Weather Cases'!$E$40=0,"","DC/SC")</f>
        <v>DC/SC</v>
      </c>
      <c r="D415" s="556" t="s">
        <v>585</v>
      </c>
      <c r="E415" s="556" t="s">
        <v>22</v>
      </c>
      <c r="F415" s="556" t="s">
        <v>22</v>
      </c>
      <c r="G415" s="556" t="str">
        <f>IFERROR(IF(MID('Load Criteria'!X415,FIND("_",'Load Criteria'!X415,1)+1,1)=LEFT(Control!$D$23,1),"YES","-"),"-")</f>
        <v>-</v>
      </c>
      <c r="H415" s="549" t="s">
        <v>22</v>
      </c>
      <c r="I415" s="557" t="s">
        <v>585</v>
      </c>
      <c r="J415" s="508">
        <v>1</v>
      </c>
      <c r="K415" s="508" t="s">
        <v>88</v>
      </c>
      <c r="L415" s="508"/>
      <c r="M415" s="508"/>
      <c r="N415" s="508"/>
      <c r="O415" s="508"/>
      <c r="P415" s="395"/>
      <c r="Q415" s="395"/>
      <c r="R415" s="395"/>
      <c r="S415" s="395"/>
      <c r="T415" s="395"/>
      <c r="U415" s="255" t="s">
        <v>568</v>
      </c>
      <c r="V415" s="551" t="s">
        <v>300</v>
      </c>
      <c r="W415" s="542" t="str">
        <f t="shared" si="548"/>
        <v>CM1+E NA+</v>
      </c>
      <c r="X415" s="552" t="str">
        <f>I415&amp;TEXT(J415,"0")</f>
        <v>CM1</v>
      </c>
      <c r="Y415" s="552" t="s">
        <v>433</v>
      </c>
      <c r="Z415" s="552" t="str">
        <f t="shared" ref="Z415:Z442" si="551">U415</f>
        <v>NA+</v>
      </c>
      <c r="AA415" s="552"/>
      <c r="AB415" s="552">
        <v>1</v>
      </c>
      <c r="AC415" s="552">
        <v>1</v>
      </c>
      <c r="AD415" s="552">
        <v>1</v>
      </c>
      <c r="AE415" s="552">
        <v>1</v>
      </c>
      <c r="AF415" s="552">
        <v>1</v>
      </c>
      <c r="AG415" s="542" t="s">
        <v>561</v>
      </c>
      <c r="AH415" s="552">
        <v>0</v>
      </c>
      <c r="AI415" s="552">
        <v>0</v>
      </c>
      <c r="AJ415" s="552">
        <v>1</v>
      </c>
      <c r="AK415" s="552">
        <v>1</v>
      </c>
      <c r="AL415" s="552">
        <v>1</v>
      </c>
      <c r="AM415" s="552">
        <v>0</v>
      </c>
      <c r="AN415" s="552">
        <v>0</v>
      </c>
      <c r="AO415" s="552">
        <v>1</v>
      </c>
      <c r="AP415" s="552">
        <v>1</v>
      </c>
      <c r="AQ415" s="552">
        <v>1</v>
      </c>
      <c r="AR415" s="552">
        <v>1</v>
      </c>
      <c r="AS415" s="552">
        <v>1</v>
      </c>
      <c r="AT415" s="552">
        <v>1</v>
      </c>
      <c r="AU415" s="552">
        <v>1</v>
      </c>
      <c r="AV415" s="553" t="str">
        <f>IF(H415="YES","'"&amp;INDEX('Structure Groups'!$C$12:$C$14,MATCH('Load Criteria'!$B$5,'Structure Groups'!$B$12:$B$14,0),1)&amp;"'","'All'")</f>
        <v>'All'</v>
      </c>
      <c r="AW415" s="552" t="s">
        <v>562</v>
      </c>
      <c r="AX415" s="552"/>
      <c r="AY415" s="552" t="str">
        <f t="shared" ref="AY415:AY442" si="552">IF(L415="","No","Yes")</f>
        <v>No</v>
      </c>
      <c r="AZ415" s="554" t="str">
        <f t="shared" ref="AZ415:AZ442" si="553">IF($AY415="No","",IF($L415="A","Ahead Spans","Back Spans"))</f>
        <v/>
      </c>
      <c r="BA415" s="554" t="str">
        <f t="shared" ref="BA415:BA442" si="554">IF(AZ415="","","Broken Wire (# Broken Subconductors)")</f>
        <v/>
      </c>
      <c r="BB415" s="552"/>
      <c r="BC415" s="554"/>
      <c r="BD415" s="554"/>
      <c r="BE415" s="552"/>
      <c r="BF415" s="554" t="str">
        <f t="shared" ref="BF415:BF450" si="555">IF($N415="","",$N415&amp;":1:"&amp;IF($L415="A","Ahead","Back"))</f>
        <v/>
      </c>
      <c r="BG415" s="554" t="str">
        <f t="shared" ref="BG415:BG442" si="556">IF(BF415="","","% Wire Ice")</f>
        <v/>
      </c>
      <c r="BH415" s="552" t="str">
        <f t="shared" ref="BH415:BH442" si="557">IF(BF415="","",40)</f>
        <v/>
      </c>
      <c r="BI415" s="554" t="str">
        <f t="shared" ref="BI415:BI450" si="558">IF($N415="","",$N415&amp;":1:"&amp;IF($L415="A","Back","Ahead"))</f>
        <v/>
      </c>
      <c r="BJ415" s="554" t="str">
        <f t="shared" ref="BJ415:BJ442" si="559">IF(BI415="","","% Wire Ice")</f>
        <v/>
      </c>
      <c r="BK415" s="552" t="str">
        <f t="shared" ref="BK415:BK442" si="560">IF(BH415="","",70)</f>
        <v/>
      </c>
      <c r="BL415" s="554" t="str">
        <f t="shared" ref="BL415:BL450" si="561">IF($O415="","",$O415&amp;":1:"&amp;IF($L415="A","Ahead","Back"))</f>
        <v/>
      </c>
      <c r="BM415" s="554" t="str">
        <f t="shared" ref="BM415:BM442" si="562">IF(BL415="","","% Wire Ice")</f>
        <v/>
      </c>
      <c r="BN415" s="552" t="str">
        <f t="shared" ref="BN415:BN442" si="563">IF(BL415="","",40)</f>
        <v/>
      </c>
      <c r="BO415" s="554" t="str">
        <f t="shared" ref="BO415:BO450" si="564">IF($O415="","",$O415&amp;":1:"&amp;IF($L415="A","Back","Ahead"))</f>
        <v/>
      </c>
      <c r="BP415" s="554" t="str">
        <f t="shared" ref="BP415:BP442" si="565">IF(BO415="","","% Wire Ice")</f>
        <v/>
      </c>
      <c r="BQ415" s="552" t="str">
        <f t="shared" ref="BQ415:BQ442" si="566">IF(BN415="","",70)</f>
        <v/>
      </c>
      <c r="BR415" s="554"/>
      <c r="BS415" s="554"/>
      <c r="BT415" s="554"/>
      <c r="BU415" s="554"/>
      <c r="BV415" s="554"/>
      <c r="BW415" s="554"/>
      <c r="BX415" s="554"/>
      <c r="BY415" s="554"/>
      <c r="BZ415" s="554"/>
      <c r="CA415" s="554"/>
      <c r="CB415" s="554"/>
      <c r="CC415" s="554"/>
      <c r="CD415" s="554"/>
      <c r="CE415" s="554"/>
      <c r="CF415" s="554"/>
      <c r="CG415" s="554"/>
      <c r="CH415" s="554"/>
      <c r="CI415" s="554"/>
      <c r="CJ415" s="554"/>
      <c r="CK415" s="554"/>
      <c r="CL415" s="554"/>
      <c r="CM415" s="554"/>
      <c r="CN415" s="554"/>
      <c r="CO415" s="554"/>
      <c r="CP415" s="554"/>
      <c r="CQ415" s="554"/>
      <c r="CR415" s="554"/>
      <c r="CS415" s="554"/>
      <c r="CT415" s="554"/>
      <c r="CU415" s="554"/>
      <c r="CV415" s="554"/>
      <c r="CW415" s="554"/>
      <c r="CX415" s="554"/>
      <c r="CY415" s="554"/>
      <c r="CZ415" s="554"/>
      <c r="DA415" s="554"/>
      <c r="DB415" s="554"/>
      <c r="DC415" s="554"/>
      <c r="DD415" s="554"/>
      <c r="DE415" s="534"/>
      <c r="DF415" s="534"/>
      <c r="DG415" s="534"/>
    </row>
    <row r="416" spans="1:111" ht="15" x14ac:dyDescent="0.25">
      <c r="A416" s="549">
        <f>IFERROR(IF(INDEX('Weather Cases'!$E$10:$E$94,MATCH('Load Criteria'!X416,'Weather Cases'!$H$10:$H$94,0),1)=1,1,"-"),"-")</f>
        <v>1</v>
      </c>
      <c r="B416" s="555" t="s">
        <v>558</v>
      </c>
      <c r="C416" s="556" t="str">
        <f>IF('Weather Cases'!$E$40=0,"","DC/SC")</f>
        <v>DC/SC</v>
      </c>
      <c r="D416" s="556" t="s">
        <v>585</v>
      </c>
      <c r="E416" s="556" t="s">
        <v>22</v>
      </c>
      <c r="F416" s="556" t="s">
        <v>22</v>
      </c>
      <c r="G416" s="556" t="str">
        <f>IFERROR(IF(MID('Load Criteria'!X416,FIND("_",'Load Criteria'!X416,1)+1,1)=LEFT(Control!$D$23,1),"YES","-"),"-")</f>
        <v>-</v>
      </c>
      <c r="H416" s="549" t="s">
        <v>22</v>
      </c>
      <c r="I416" s="557" t="s">
        <v>585</v>
      </c>
      <c r="J416" s="508">
        <v>1</v>
      </c>
      <c r="K416" s="508" t="s">
        <v>60</v>
      </c>
      <c r="L416" s="508" t="s">
        <v>24</v>
      </c>
      <c r="M416" s="508"/>
      <c r="N416" s="508"/>
      <c r="O416" s="508"/>
      <c r="P416" s="395"/>
      <c r="Q416" s="395"/>
      <c r="R416" s="395"/>
      <c r="S416" s="395"/>
      <c r="T416" s="395"/>
      <c r="U416" s="255" t="s">
        <v>568</v>
      </c>
      <c r="V416" s="551" t="s">
        <v>300</v>
      </c>
      <c r="W416" s="542" t="str">
        <f t="shared" ref="W416:W417" si="567">X416&amp;"+"&amp;K416&amp;IF(L416="","",CONCATENATE(L416,M416,N416,O416))&amp;" "&amp;U416</f>
        <v>CM1+DA NA+</v>
      </c>
      <c r="X416" s="552" t="str">
        <f t="shared" ref="X416:X417" si="568">I416&amp;TEXT(J416,"0")</f>
        <v>CM1</v>
      </c>
      <c r="Y416" s="552" t="s">
        <v>433</v>
      </c>
      <c r="Z416" s="552" t="str">
        <f t="shared" ref="Z416:Z417" si="569">U416</f>
        <v>NA+</v>
      </c>
      <c r="AA416" s="552"/>
      <c r="AB416" s="552">
        <v>1</v>
      </c>
      <c r="AC416" s="552">
        <v>1</v>
      </c>
      <c r="AD416" s="552">
        <v>1</v>
      </c>
      <c r="AE416" s="552">
        <v>1</v>
      </c>
      <c r="AF416" s="552">
        <v>1</v>
      </c>
      <c r="AG416" s="542" t="s">
        <v>561</v>
      </c>
      <c r="AH416" s="552">
        <v>0</v>
      </c>
      <c r="AI416" s="552">
        <v>0</v>
      </c>
      <c r="AJ416" s="552">
        <v>1</v>
      </c>
      <c r="AK416" s="552">
        <v>1</v>
      </c>
      <c r="AL416" s="552">
        <v>1</v>
      </c>
      <c r="AM416" s="552">
        <v>0</v>
      </c>
      <c r="AN416" s="552">
        <v>0</v>
      </c>
      <c r="AO416" s="552">
        <v>1</v>
      </c>
      <c r="AP416" s="552">
        <v>1</v>
      </c>
      <c r="AQ416" s="552">
        <v>1</v>
      </c>
      <c r="AR416" s="552">
        <v>1</v>
      </c>
      <c r="AS416" s="552">
        <v>1</v>
      </c>
      <c r="AT416" s="552">
        <v>1</v>
      </c>
      <c r="AU416" s="552">
        <v>1</v>
      </c>
      <c r="AV416" s="553" t="str">
        <f>IF(H416="YES","'"&amp;INDEX('Structure Groups'!$C$12:$C$14,MATCH('Load Criteria'!$B$5,'Structure Groups'!$B$12:$B$14,0),1)&amp;"'","'All'")</f>
        <v>'All'</v>
      </c>
      <c r="AW416" s="552" t="s">
        <v>562</v>
      </c>
      <c r="AX416" s="552"/>
      <c r="AY416" s="552" t="str">
        <f t="shared" si="552"/>
        <v>Yes</v>
      </c>
      <c r="AZ416" s="554" t="str">
        <f t="shared" ref="AZ416" si="570">IF(AY416="No","",IF(L416="A","Ahead Spans","Back Spans"))</f>
        <v>Ahead Spans</v>
      </c>
      <c r="BA416" s="554" t="str">
        <f t="shared" ref="BA416" si="571">IF(AZ416="","","% Wire Wind Pressure")</f>
        <v>% Wire Wind Pressure</v>
      </c>
      <c r="BB416" s="552">
        <f>IF(AZ416="","",0)</f>
        <v>0</v>
      </c>
      <c r="BC416" s="554"/>
      <c r="BD416" s="554"/>
      <c r="BE416" s="552"/>
      <c r="BF416" s="554" t="str">
        <f t="shared" si="555"/>
        <v/>
      </c>
      <c r="BG416" s="554" t="str">
        <f t="shared" ref="BG416:BG417" si="572">IF(BF416="","","% Wire Ice")</f>
        <v/>
      </c>
      <c r="BH416" s="552" t="str">
        <f t="shared" ref="BH416:BH417" si="573">IF(BF416="","",40)</f>
        <v/>
      </c>
      <c r="BI416" s="554" t="str">
        <f t="shared" si="558"/>
        <v/>
      </c>
      <c r="BJ416" s="554" t="str">
        <f t="shared" ref="BJ416:BJ417" si="574">IF(BI416="","","% Wire Ice")</f>
        <v/>
      </c>
      <c r="BK416" s="552" t="str">
        <f t="shared" ref="BK416:BK417" si="575">IF(BH416="","",70)</f>
        <v/>
      </c>
      <c r="BL416" s="554" t="str">
        <f t="shared" si="561"/>
        <v/>
      </c>
      <c r="BM416" s="554" t="str">
        <f t="shared" ref="BM416:BM417" si="576">IF(BL416="","","% Wire Ice")</f>
        <v/>
      </c>
      <c r="BN416" s="552" t="str">
        <f t="shared" ref="BN416:BN417" si="577">IF(BL416="","",40)</f>
        <v/>
      </c>
      <c r="BO416" s="554" t="str">
        <f t="shared" si="564"/>
        <v/>
      </c>
      <c r="BP416" s="554" t="str">
        <f t="shared" ref="BP416:BP417" si="578">IF(BO416="","","% Wire Ice")</f>
        <v/>
      </c>
      <c r="BQ416" s="552" t="str">
        <f t="shared" ref="BQ416:BQ417" si="579">IF(BN416="","",70)</f>
        <v/>
      </c>
      <c r="BR416" s="554"/>
      <c r="BS416" s="554"/>
      <c r="BT416" s="554"/>
      <c r="BU416" s="554"/>
      <c r="BV416" s="554"/>
      <c r="BW416" s="554"/>
      <c r="BX416" s="554"/>
      <c r="BY416" s="554"/>
      <c r="BZ416" s="554"/>
      <c r="CA416" s="554"/>
      <c r="CB416" s="554"/>
      <c r="CC416" s="554"/>
      <c r="CD416" s="554"/>
      <c r="CE416" s="554"/>
      <c r="CF416" s="554"/>
      <c r="CG416" s="554"/>
      <c r="CH416" s="554"/>
      <c r="CI416" s="554"/>
      <c r="CJ416" s="554"/>
      <c r="CK416" s="554"/>
      <c r="CL416" s="554"/>
      <c r="CM416" s="554"/>
      <c r="CN416" s="554"/>
      <c r="CO416" s="554"/>
      <c r="CP416" s="554"/>
      <c r="CQ416" s="554"/>
      <c r="CR416" s="554"/>
      <c r="CS416" s="554"/>
      <c r="CT416" s="554"/>
      <c r="CU416" s="554"/>
      <c r="CV416" s="554"/>
      <c r="CW416" s="554"/>
      <c r="CX416" s="554"/>
      <c r="CY416" s="554"/>
      <c r="CZ416" s="554"/>
      <c r="DA416" s="554"/>
      <c r="DB416" s="554"/>
      <c r="DC416" s="554"/>
      <c r="DD416" s="554"/>
      <c r="DE416" s="534"/>
      <c r="DF416" s="534"/>
      <c r="DG416" s="534"/>
    </row>
    <row r="417" spans="1:111" ht="15" x14ac:dyDescent="0.25">
      <c r="A417" s="549">
        <f>IFERROR(IF(INDEX('Weather Cases'!$E$10:$E$94,MATCH('Load Criteria'!X417,'Weather Cases'!$H$10:$H$94,0),1)=1,1,"-"),"-")</f>
        <v>1</v>
      </c>
      <c r="B417" s="555" t="s">
        <v>558</v>
      </c>
      <c r="C417" s="556" t="str">
        <f>IF('Weather Cases'!$E$40=0,"","DC/SC")</f>
        <v>DC/SC</v>
      </c>
      <c r="D417" s="556" t="s">
        <v>585</v>
      </c>
      <c r="E417" s="556" t="s">
        <v>22</v>
      </c>
      <c r="F417" s="556" t="s">
        <v>22</v>
      </c>
      <c r="G417" s="556" t="str">
        <f>IFERROR(IF(MID('Load Criteria'!X417,FIND("_",'Load Criteria'!X417,1)+1,1)=LEFT(Control!$D$23,1),"YES","-"),"-")</f>
        <v>-</v>
      </c>
      <c r="H417" s="549" t="s">
        <v>22</v>
      </c>
      <c r="I417" s="557" t="s">
        <v>585</v>
      </c>
      <c r="J417" s="508">
        <v>1</v>
      </c>
      <c r="K417" s="508" t="s">
        <v>60</v>
      </c>
      <c r="L417" s="508" t="s">
        <v>40</v>
      </c>
      <c r="M417" s="508"/>
      <c r="N417" s="508"/>
      <c r="O417" s="508"/>
      <c r="P417" s="395"/>
      <c r="Q417" s="395"/>
      <c r="R417" s="395"/>
      <c r="S417" s="395"/>
      <c r="T417" s="395"/>
      <c r="U417" s="255" t="s">
        <v>568</v>
      </c>
      <c r="V417" s="551" t="s">
        <v>300</v>
      </c>
      <c r="W417" s="542" t="str">
        <f t="shared" si="567"/>
        <v>CM1+DB NA+</v>
      </c>
      <c r="X417" s="552" t="str">
        <f t="shared" si="568"/>
        <v>CM1</v>
      </c>
      <c r="Y417" s="552" t="s">
        <v>433</v>
      </c>
      <c r="Z417" s="552" t="str">
        <f t="shared" si="569"/>
        <v>NA+</v>
      </c>
      <c r="AA417" s="552"/>
      <c r="AB417" s="552">
        <v>1</v>
      </c>
      <c r="AC417" s="552">
        <v>1</v>
      </c>
      <c r="AD417" s="552">
        <v>1</v>
      </c>
      <c r="AE417" s="552">
        <v>1</v>
      </c>
      <c r="AF417" s="552">
        <v>1</v>
      </c>
      <c r="AG417" s="542" t="s">
        <v>561</v>
      </c>
      <c r="AH417" s="552">
        <v>0</v>
      </c>
      <c r="AI417" s="552">
        <v>0</v>
      </c>
      <c r="AJ417" s="552">
        <v>1</v>
      </c>
      <c r="AK417" s="552">
        <v>1</v>
      </c>
      <c r="AL417" s="552">
        <v>1</v>
      </c>
      <c r="AM417" s="552">
        <v>0</v>
      </c>
      <c r="AN417" s="552">
        <v>0</v>
      </c>
      <c r="AO417" s="552">
        <v>1</v>
      </c>
      <c r="AP417" s="552">
        <v>1</v>
      </c>
      <c r="AQ417" s="552">
        <v>1</v>
      </c>
      <c r="AR417" s="552">
        <v>1</v>
      </c>
      <c r="AS417" s="552">
        <v>1</v>
      </c>
      <c r="AT417" s="552">
        <v>1</v>
      </c>
      <c r="AU417" s="552">
        <v>1</v>
      </c>
      <c r="AV417" s="553" t="str">
        <f>IF(H417="YES","'"&amp;INDEX('Structure Groups'!$C$12:$C$14,MATCH('Load Criteria'!$B$5,'Structure Groups'!$B$12:$B$14,0),1)&amp;"'","'All'")</f>
        <v>'All'</v>
      </c>
      <c r="AW417" s="552" t="s">
        <v>562</v>
      </c>
      <c r="AX417" s="552"/>
      <c r="AY417" s="552" t="str">
        <f t="shared" ref="AY417" si="580">IF(L417="","No","Yes")</f>
        <v>Yes</v>
      </c>
      <c r="AZ417" s="554" t="str">
        <f t="shared" ref="AZ417" si="581">IF(AY417="No","",IF(L417="A","Ahead Spans","Back Spans"))</f>
        <v>Back Spans</v>
      </c>
      <c r="BA417" s="554" t="str">
        <f t="shared" ref="BA417" si="582">IF(AZ417="","","% Wire Wind Pressure")</f>
        <v>% Wire Wind Pressure</v>
      </c>
      <c r="BB417" s="552">
        <f>IF(AZ417="","",0)</f>
        <v>0</v>
      </c>
      <c r="BC417" s="554"/>
      <c r="BD417" s="554"/>
      <c r="BE417" s="552"/>
      <c r="BF417" s="554" t="str">
        <f t="shared" si="555"/>
        <v/>
      </c>
      <c r="BG417" s="554" t="str">
        <f t="shared" si="572"/>
        <v/>
      </c>
      <c r="BH417" s="552" t="str">
        <f t="shared" si="573"/>
        <v/>
      </c>
      <c r="BI417" s="554" t="str">
        <f t="shared" si="558"/>
        <v/>
      </c>
      <c r="BJ417" s="554" t="str">
        <f t="shared" si="574"/>
        <v/>
      </c>
      <c r="BK417" s="552" t="str">
        <f t="shared" si="575"/>
        <v/>
      </c>
      <c r="BL417" s="554" t="str">
        <f t="shared" si="561"/>
        <v/>
      </c>
      <c r="BM417" s="554" t="str">
        <f t="shared" si="576"/>
        <v/>
      </c>
      <c r="BN417" s="552" t="str">
        <f t="shared" si="577"/>
        <v/>
      </c>
      <c r="BO417" s="554" t="str">
        <f t="shared" si="564"/>
        <v/>
      </c>
      <c r="BP417" s="554" t="str">
        <f t="shared" si="578"/>
        <v/>
      </c>
      <c r="BQ417" s="552" t="str">
        <f t="shared" si="579"/>
        <v/>
      </c>
      <c r="BR417" s="554"/>
      <c r="BS417" s="554"/>
      <c r="BT417" s="554"/>
      <c r="BU417" s="554"/>
      <c r="BV417" s="554"/>
      <c r="BW417" s="554"/>
      <c r="BX417" s="554"/>
      <c r="BY417" s="554"/>
      <c r="BZ417" s="554"/>
      <c r="CA417" s="554"/>
      <c r="CB417" s="554"/>
      <c r="CC417" s="554"/>
      <c r="CD417" s="554"/>
      <c r="CE417" s="554"/>
      <c r="CF417" s="554"/>
      <c r="CG417" s="554"/>
      <c r="CH417" s="554"/>
      <c r="CI417" s="554"/>
      <c r="CJ417" s="554"/>
      <c r="CK417" s="554"/>
      <c r="CL417" s="554"/>
      <c r="CM417" s="554"/>
      <c r="CN417" s="554"/>
      <c r="CO417" s="554"/>
      <c r="CP417" s="554"/>
      <c r="CQ417" s="554"/>
      <c r="CR417" s="554"/>
      <c r="CS417" s="554"/>
      <c r="CT417" s="554"/>
      <c r="CU417" s="554"/>
      <c r="CV417" s="554"/>
      <c r="CW417" s="554"/>
      <c r="CX417" s="554"/>
      <c r="CY417" s="554"/>
      <c r="CZ417" s="554"/>
      <c r="DA417" s="554"/>
      <c r="DB417" s="554"/>
      <c r="DC417" s="554"/>
      <c r="DD417" s="554"/>
      <c r="DE417" s="534"/>
      <c r="DF417" s="534"/>
      <c r="DG417" s="534"/>
    </row>
    <row r="418" spans="1:111" ht="15" x14ac:dyDescent="0.25">
      <c r="A418" s="549">
        <f>IFERROR(IF(INDEX('Weather Cases'!$E$10:$E$94,MATCH('Load Criteria'!X418,'Weather Cases'!$H$10:$H$94,0),1)=1,1,"-"),"-")</f>
        <v>1</v>
      </c>
      <c r="B418" s="555" t="s">
        <v>558</v>
      </c>
      <c r="C418" s="556" t="str">
        <f>IF('Weather Cases'!$E$40=0,"","DC/SC")</f>
        <v>DC/SC</v>
      </c>
      <c r="D418" s="556" t="s">
        <v>585</v>
      </c>
      <c r="E418" s="556" t="s">
        <v>22</v>
      </c>
      <c r="F418" s="556" t="s">
        <v>22</v>
      </c>
      <c r="G418" s="556" t="str">
        <f>IFERROR(IF(MID('Load Criteria'!X418,FIND("_",'Load Criteria'!X418,1)+1,1)=LEFT(Control!$D$23,1),"YES","-"),"-")</f>
        <v>-</v>
      </c>
      <c r="H418" s="549" t="s">
        <v>22</v>
      </c>
      <c r="I418" s="557" t="s">
        <v>585</v>
      </c>
      <c r="J418" s="508">
        <v>1</v>
      </c>
      <c r="K418" s="508" t="s">
        <v>88</v>
      </c>
      <c r="L418" s="508"/>
      <c r="M418" s="508"/>
      <c r="N418" s="508"/>
      <c r="O418" s="508"/>
      <c r="P418" s="395"/>
      <c r="Q418" s="395"/>
      <c r="R418" s="395"/>
      <c r="S418" s="395"/>
      <c r="T418" s="395"/>
      <c r="U418" s="255" t="s">
        <v>574</v>
      </c>
      <c r="V418" s="551" t="s">
        <v>300</v>
      </c>
      <c r="W418" s="542" t="str">
        <f t="shared" ref="W418:W504" si="583">X418&amp;"+"&amp;K418&amp;IF(L418="","",CONCATENATE(L418,M418,N418,O418))&amp;" "&amp;U418</f>
        <v>CM1+E NA-</v>
      </c>
      <c r="X418" s="552" t="str">
        <f>I418&amp;TEXT(J418,"0")</f>
        <v>CM1</v>
      </c>
      <c r="Y418" s="552" t="s">
        <v>433</v>
      </c>
      <c r="Z418" s="552" t="str">
        <f t="shared" si="551"/>
        <v>NA-</v>
      </c>
      <c r="AA418" s="552"/>
      <c r="AB418" s="552">
        <v>1</v>
      </c>
      <c r="AC418" s="552">
        <v>1</v>
      </c>
      <c r="AD418" s="552">
        <v>1</v>
      </c>
      <c r="AE418" s="552">
        <v>1</v>
      </c>
      <c r="AF418" s="552">
        <v>1</v>
      </c>
      <c r="AG418" s="542" t="s">
        <v>561</v>
      </c>
      <c r="AH418" s="552">
        <v>0</v>
      </c>
      <c r="AI418" s="552">
        <v>0</v>
      </c>
      <c r="AJ418" s="552">
        <v>1</v>
      </c>
      <c r="AK418" s="552">
        <v>1</v>
      </c>
      <c r="AL418" s="552">
        <v>1</v>
      </c>
      <c r="AM418" s="552">
        <v>0</v>
      </c>
      <c r="AN418" s="552">
        <v>0</v>
      </c>
      <c r="AO418" s="552">
        <v>1</v>
      </c>
      <c r="AP418" s="552">
        <v>1</v>
      </c>
      <c r="AQ418" s="552">
        <v>1</v>
      </c>
      <c r="AR418" s="552">
        <v>1</v>
      </c>
      <c r="AS418" s="552">
        <v>1</v>
      </c>
      <c r="AT418" s="552">
        <v>1</v>
      </c>
      <c r="AU418" s="552">
        <v>1</v>
      </c>
      <c r="AV418" s="553" t="str">
        <f>IF(H418="YES","'"&amp;INDEX('Structure Groups'!$C$12:$C$14,MATCH('Load Criteria'!$B$5,'Structure Groups'!$B$12:$B$14,0),1)&amp;"'","'All'")</f>
        <v>'All'</v>
      </c>
      <c r="AW418" s="552" t="s">
        <v>562</v>
      </c>
      <c r="AX418" s="552"/>
      <c r="AY418" s="552" t="str">
        <f t="shared" si="552"/>
        <v>No</v>
      </c>
      <c r="AZ418" s="554" t="str">
        <f t="shared" ref="AZ418:AZ421" si="584">IF(AY418="No","",IF(L418="A","Ahead Spans","Back Spans"))</f>
        <v/>
      </c>
      <c r="BA418" s="554" t="str">
        <f t="shared" ref="BA418:BA421" si="585">IF(AZ418="","","% Wire Wind Pressure")</f>
        <v/>
      </c>
      <c r="BB418" s="552" t="str">
        <f t="shared" ref="BB418:BB420" si="586">IF(AZ418="","",0)</f>
        <v/>
      </c>
      <c r="BC418" s="554"/>
      <c r="BD418" s="554"/>
      <c r="BE418" s="552"/>
      <c r="BF418" s="554" t="str">
        <f t="shared" si="555"/>
        <v/>
      </c>
      <c r="BG418" s="554" t="str">
        <f t="shared" si="556"/>
        <v/>
      </c>
      <c r="BH418" s="552" t="str">
        <f t="shared" si="557"/>
        <v/>
      </c>
      <c r="BI418" s="554" t="str">
        <f t="shared" si="558"/>
        <v/>
      </c>
      <c r="BJ418" s="554" t="str">
        <f t="shared" si="559"/>
        <v/>
      </c>
      <c r="BK418" s="552" t="str">
        <f t="shared" si="560"/>
        <v/>
      </c>
      <c r="BL418" s="554" t="str">
        <f t="shared" si="561"/>
        <v/>
      </c>
      <c r="BM418" s="554" t="str">
        <f t="shared" si="562"/>
        <v/>
      </c>
      <c r="BN418" s="552" t="str">
        <f t="shared" si="563"/>
        <v/>
      </c>
      <c r="BO418" s="554" t="str">
        <f t="shared" si="564"/>
        <v/>
      </c>
      <c r="BP418" s="554" t="str">
        <f t="shared" si="565"/>
        <v/>
      </c>
      <c r="BQ418" s="552" t="str">
        <f t="shared" si="566"/>
        <v/>
      </c>
      <c r="BR418" s="554"/>
      <c r="BS418" s="554"/>
      <c r="BT418" s="554"/>
      <c r="BU418" s="554"/>
      <c r="BV418" s="554"/>
      <c r="BW418" s="554"/>
      <c r="BX418" s="554"/>
      <c r="BY418" s="554"/>
      <c r="BZ418" s="554"/>
      <c r="CA418" s="554"/>
      <c r="CB418" s="554"/>
      <c r="CC418" s="554"/>
      <c r="CD418" s="554"/>
      <c r="CE418" s="554"/>
      <c r="CF418" s="554"/>
      <c r="CG418" s="554"/>
      <c r="CH418" s="554"/>
      <c r="CI418" s="554"/>
      <c r="CJ418" s="554"/>
      <c r="CK418" s="554"/>
      <c r="CL418" s="554"/>
      <c r="CM418" s="554"/>
      <c r="CN418" s="554"/>
      <c r="CO418" s="554"/>
      <c r="CP418" s="554"/>
      <c r="CQ418" s="554"/>
      <c r="CR418" s="554"/>
      <c r="CS418" s="554"/>
      <c r="CT418" s="554"/>
      <c r="CU418" s="554"/>
      <c r="CV418" s="554"/>
      <c r="CW418" s="554"/>
      <c r="CX418" s="554"/>
      <c r="CY418" s="554"/>
      <c r="CZ418" s="554"/>
      <c r="DA418" s="554"/>
      <c r="DB418" s="554"/>
      <c r="DC418" s="554"/>
      <c r="DD418" s="554"/>
      <c r="DE418" s="534"/>
      <c r="DF418" s="534"/>
      <c r="DG418" s="534"/>
    </row>
    <row r="419" spans="1:111" ht="15" x14ac:dyDescent="0.25">
      <c r="A419" s="549">
        <f>IFERROR(IF(INDEX('Weather Cases'!$E$10:$E$94,MATCH('Load Criteria'!X419,'Weather Cases'!$H$10:$H$94,0),1)=1,1,"-"),"-")</f>
        <v>1</v>
      </c>
      <c r="B419" s="555" t="s">
        <v>558</v>
      </c>
      <c r="C419" s="556" t="str">
        <f>IF('Weather Cases'!$E$40=0,"","DC/SC")</f>
        <v>DC/SC</v>
      </c>
      <c r="D419" s="556" t="s">
        <v>585</v>
      </c>
      <c r="E419" s="556" t="s">
        <v>22</v>
      </c>
      <c r="F419" s="556" t="s">
        <v>22</v>
      </c>
      <c r="G419" s="556" t="str">
        <f>IFERROR(IF(MID('Load Criteria'!X419,FIND("_",'Load Criteria'!X419,1)+1,1)=LEFT(Control!$D$23,1),"YES","-"),"-")</f>
        <v>-</v>
      </c>
      <c r="H419" s="549" t="s">
        <v>22</v>
      </c>
      <c r="I419" s="557" t="s">
        <v>585</v>
      </c>
      <c r="J419" s="508">
        <v>1</v>
      </c>
      <c r="K419" s="508" t="s">
        <v>60</v>
      </c>
      <c r="L419" s="508" t="s">
        <v>24</v>
      </c>
      <c r="M419" s="508"/>
      <c r="N419" s="508"/>
      <c r="O419" s="508"/>
      <c r="P419" s="395"/>
      <c r="Q419" s="395"/>
      <c r="R419" s="395"/>
      <c r="S419" s="395"/>
      <c r="T419" s="395"/>
      <c r="U419" s="255" t="s">
        <v>574</v>
      </c>
      <c r="V419" s="551" t="s">
        <v>300</v>
      </c>
      <c r="W419" s="542" t="str">
        <f t="shared" ref="W419" si="587">X419&amp;"+"&amp;K419&amp;IF(L419="","",CONCATENATE(L419,M419,N419,O419))&amp;" "&amp;U419</f>
        <v>CM1+DA NA-</v>
      </c>
      <c r="X419" s="552" t="str">
        <f>I419&amp;TEXT(J419,"0")</f>
        <v>CM1</v>
      </c>
      <c r="Y419" s="552" t="s">
        <v>433</v>
      </c>
      <c r="Z419" s="552" t="str">
        <f t="shared" ref="Z419" si="588">U419</f>
        <v>NA-</v>
      </c>
      <c r="AA419" s="552"/>
      <c r="AB419" s="552">
        <v>1</v>
      </c>
      <c r="AC419" s="552">
        <v>1</v>
      </c>
      <c r="AD419" s="552">
        <v>1</v>
      </c>
      <c r="AE419" s="552">
        <v>1</v>
      </c>
      <c r="AF419" s="552">
        <v>1</v>
      </c>
      <c r="AG419" s="542" t="s">
        <v>561</v>
      </c>
      <c r="AH419" s="552">
        <v>0</v>
      </c>
      <c r="AI419" s="552">
        <v>0</v>
      </c>
      <c r="AJ419" s="552">
        <v>1</v>
      </c>
      <c r="AK419" s="552">
        <v>1</v>
      </c>
      <c r="AL419" s="552">
        <v>1</v>
      </c>
      <c r="AM419" s="552">
        <v>0</v>
      </c>
      <c r="AN419" s="552">
        <v>0</v>
      </c>
      <c r="AO419" s="552">
        <v>1</v>
      </c>
      <c r="AP419" s="552">
        <v>1</v>
      </c>
      <c r="AQ419" s="552">
        <v>1</v>
      </c>
      <c r="AR419" s="552">
        <v>1</v>
      </c>
      <c r="AS419" s="552">
        <v>1</v>
      </c>
      <c r="AT419" s="552">
        <v>1</v>
      </c>
      <c r="AU419" s="552">
        <v>1</v>
      </c>
      <c r="AV419" s="553" t="str">
        <f>IF(H419="YES","'"&amp;INDEX('Structure Groups'!$C$12:$C$14,MATCH('Load Criteria'!$B$5,'Structure Groups'!$B$12:$B$14,0),1)&amp;"'","'All'")</f>
        <v>'All'</v>
      </c>
      <c r="AW419" s="552" t="s">
        <v>562</v>
      </c>
      <c r="AX419" s="552"/>
      <c r="AY419" s="552" t="str">
        <f t="shared" ref="AY419" si="589">IF(L419="","No","Yes")</f>
        <v>Yes</v>
      </c>
      <c r="AZ419" s="554" t="str">
        <f t="shared" si="584"/>
        <v>Ahead Spans</v>
      </c>
      <c r="BA419" s="554" t="str">
        <f t="shared" si="585"/>
        <v>% Wire Wind Pressure</v>
      </c>
      <c r="BB419" s="552">
        <f t="shared" si="586"/>
        <v>0</v>
      </c>
      <c r="BC419" s="554"/>
      <c r="BD419" s="554"/>
      <c r="BE419" s="552"/>
      <c r="BF419" s="554" t="str">
        <f t="shared" si="555"/>
        <v/>
      </c>
      <c r="BG419" s="554" t="str">
        <f t="shared" ref="BG419" si="590">IF(BF419="","","% Wire Ice")</f>
        <v/>
      </c>
      <c r="BH419" s="552" t="str">
        <f t="shared" ref="BH419" si="591">IF(BF419="","",40)</f>
        <v/>
      </c>
      <c r="BI419" s="554" t="str">
        <f t="shared" si="558"/>
        <v/>
      </c>
      <c r="BJ419" s="554" t="str">
        <f t="shared" ref="BJ419" si="592">IF(BI419="","","% Wire Ice")</f>
        <v/>
      </c>
      <c r="BK419" s="552" t="str">
        <f t="shared" ref="BK419" si="593">IF(BH419="","",70)</f>
        <v/>
      </c>
      <c r="BL419" s="554" t="str">
        <f t="shared" si="561"/>
        <v/>
      </c>
      <c r="BM419" s="554" t="str">
        <f t="shared" ref="BM419" si="594">IF(BL419="","","% Wire Ice")</f>
        <v/>
      </c>
      <c r="BN419" s="552" t="str">
        <f t="shared" ref="BN419" si="595">IF(BL419="","",40)</f>
        <v/>
      </c>
      <c r="BO419" s="554" t="str">
        <f t="shared" si="564"/>
        <v/>
      </c>
      <c r="BP419" s="554" t="str">
        <f t="shared" ref="BP419" si="596">IF(BO419="","","% Wire Ice")</f>
        <v/>
      </c>
      <c r="BQ419" s="552" t="str">
        <f t="shared" ref="BQ419" si="597">IF(BN419="","",70)</f>
        <v/>
      </c>
      <c r="BR419" s="554"/>
      <c r="BS419" s="554"/>
      <c r="BT419" s="554"/>
      <c r="BU419" s="554"/>
      <c r="BV419" s="554"/>
      <c r="BW419" s="554"/>
      <c r="BX419" s="554"/>
      <c r="BY419" s="554"/>
      <c r="BZ419" s="554"/>
      <c r="CA419" s="554"/>
      <c r="CB419" s="554"/>
      <c r="CC419" s="554"/>
      <c r="CD419" s="554"/>
      <c r="CE419" s="554"/>
      <c r="CF419" s="554"/>
      <c r="CG419" s="554"/>
      <c r="CH419" s="554"/>
      <c r="CI419" s="554"/>
      <c r="CJ419" s="554"/>
      <c r="CK419" s="554"/>
      <c r="CL419" s="554"/>
      <c r="CM419" s="554"/>
      <c r="CN419" s="554"/>
      <c r="CO419" s="554"/>
      <c r="CP419" s="554"/>
      <c r="CQ419" s="554"/>
      <c r="CR419" s="554"/>
      <c r="CS419" s="554"/>
      <c r="CT419" s="554"/>
      <c r="CU419" s="554"/>
      <c r="CV419" s="554"/>
      <c r="CW419" s="554"/>
      <c r="CX419" s="554"/>
      <c r="CY419" s="554"/>
      <c r="CZ419" s="554"/>
      <c r="DA419" s="554"/>
      <c r="DB419" s="554"/>
      <c r="DC419" s="554"/>
      <c r="DD419" s="554"/>
      <c r="DE419" s="534"/>
      <c r="DF419" s="534"/>
      <c r="DG419" s="534"/>
    </row>
    <row r="420" spans="1:111" ht="15" x14ac:dyDescent="0.25">
      <c r="A420" s="549">
        <f>IFERROR(IF(INDEX('Weather Cases'!$E$10:$E$94,MATCH('Load Criteria'!X420,'Weather Cases'!$H$10:$H$94,0),1)=1,1,"-"),"-")</f>
        <v>1</v>
      </c>
      <c r="B420" s="555" t="s">
        <v>558</v>
      </c>
      <c r="C420" s="556" t="str">
        <f>IF('Weather Cases'!$E$40=0,"","DC/SC")</f>
        <v>DC/SC</v>
      </c>
      <c r="D420" s="556" t="s">
        <v>585</v>
      </c>
      <c r="E420" s="556" t="s">
        <v>22</v>
      </c>
      <c r="F420" s="556" t="s">
        <v>22</v>
      </c>
      <c r="G420" s="556" t="str">
        <f>IFERROR(IF(MID('Load Criteria'!X420,FIND("_",'Load Criteria'!X420,1)+1,1)=LEFT(Control!$D$23,1),"YES","-"),"-")</f>
        <v>-</v>
      </c>
      <c r="H420" s="549" t="s">
        <v>22</v>
      </c>
      <c r="I420" s="557" t="s">
        <v>585</v>
      </c>
      <c r="J420" s="508">
        <v>1</v>
      </c>
      <c r="K420" s="508" t="s">
        <v>60</v>
      </c>
      <c r="L420" s="508" t="s">
        <v>40</v>
      </c>
      <c r="M420" s="508"/>
      <c r="N420" s="508"/>
      <c r="O420" s="508"/>
      <c r="P420" s="395"/>
      <c r="Q420" s="395"/>
      <c r="R420" s="395"/>
      <c r="S420" s="395"/>
      <c r="T420" s="395"/>
      <c r="U420" s="255" t="s">
        <v>574</v>
      </c>
      <c r="V420" s="551" t="s">
        <v>300</v>
      </c>
      <c r="W420" s="542" t="str">
        <f t="shared" ref="W420" si="598">X420&amp;"+"&amp;K420&amp;IF(L420="","",CONCATENATE(L420,M420,N420,O420))&amp;" "&amp;U420</f>
        <v>CM1+DB NA-</v>
      </c>
      <c r="X420" s="552" t="str">
        <f>I420&amp;TEXT(J420,"0")</f>
        <v>CM1</v>
      </c>
      <c r="Y420" s="552" t="s">
        <v>433</v>
      </c>
      <c r="Z420" s="552" t="str">
        <f t="shared" ref="Z420" si="599">U420</f>
        <v>NA-</v>
      </c>
      <c r="AA420" s="552"/>
      <c r="AB420" s="552">
        <v>1</v>
      </c>
      <c r="AC420" s="552">
        <v>1</v>
      </c>
      <c r="AD420" s="552">
        <v>1</v>
      </c>
      <c r="AE420" s="552">
        <v>1</v>
      </c>
      <c r="AF420" s="552">
        <v>1</v>
      </c>
      <c r="AG420" s="542" t="s">
        <v>561</v>
      </c>
      <c r="AH420" s="552">
        <v>0</v>
      </c>
      <c r="AI420" s="552">
        <v>0</v>
      </c>
      <c r="AJ420" s="552">
        <v>1</v>
      </c>
      <c r="AK420" s="552">
        <v>1</v>
      </c>
      <c r="AL420" s="552">
        <v>1</v>
      </c>
      <c r="AM420" s="552">
        <v>0</v>
      </c>
      <c r="AN420" s="552">
        <v>0</v>
      </c>
      <c r="AO420" s="552">
        <v>1</v>
      </c>
      <c r="AP420" s="552">
        <v>1</v>
      </c>
      <c r="AQ420" s="552">
        <v>1</v>
      </c>
      <c r="AR420" s="552">
        <v>1</v>
      </c>
      <c r="AS420" s="552">
        <v>1</v>
      </c>
      <c r="AT420" s="552">
        <v>1</v>
      </c>
      <c r="AU420" s="552">
        <v>1</v>
      </c>
      <c r="AV420" s="553" t="str">
        <f>IF(H420="YES","'"&amp;INDEX('Structure Groups'!$C$12:$C$14,MATCH('Load Criteria'!$B$5,'Structure Groups'!$B$12:$B$14,0),1)&amp;"'","'All'")</f>
        <v>'All'</v>
      </c>
      <c r="AW420" s="552" t="s">
        <v>562</v>
      </c>
      <c r="AX420" s="552"/>
      <c r="AY420" s="552" t="str">
        <f t="shared" ref="AY420" si="600">IF(L420="","No","Yes")</f>
        <v>Yes</v>
      </c>
      <c r="AZ420" s="554" t="str">
        <f t="shared" si="584"/>
        <v>Back Spans</v>
      </c>
      <c r="BA420" s="554" t="str">
        <f t="shared" si="585"/>
        <v>% Wire Wind Pressure</v>
      </c>
      <c r="BB420" s="552">
        <f t="shared" si="586"/>
        <v>0</v>
      </c>
      <c r="BC420" s="554"/>
      <c r="BD420" s="554"/>
      <c r="BE420" s="552"/>
      <c r="BF420" s="554" t="str">
        <f t="shared" si="555"/>
        <v/>
      </c>
      <c r="BG420" s="554" t="str">
        <f t="shared" ref="BG420" si="601">IF(BF420="","","% Wire Ice")</f>
        <v/>
      </c>
      <c r="BH420" s="552" t="str">
        <f t="shared" ref="BH420" si="602">IF(BF420="","",40)</f>
        <v/>
      </c>
      <c r="BI420" s="554" t="str">
        <f t="shared" si="558"/>
        <v/>
      </c>
      <c r="BJ420" s="554" t="str">
        <f t="shared" ref="BJ420" si="603">IF(BI420="","","% Wire Ice")</f>
        <v/>
      </c>
      <c r="BK420" s="552" t="str">
        <f t="shared" ref="BK420" si="604">IF(BH420="","",70)</f>
        <v/>
      </c>
      <c r="BL420" s="554" t="str">
        <f t="shared" si="561"/>
        <v/>
      </c>
      <c r="BM420" s="554" t="str">
        <f t="shared" ref="BM420" si="605">IF(BL420="","","% Wire Ice")</f>
        <v/>
      </c>
      <c r="BN420" s="552" t="str">
        <f t="shared" ref="BN420" si="606">IF(BL420="","",40)</f>
        <v/>
      </c>
      <c r="BO420" s="554" t="str">
        <f t="shared" si="564"/>
        <v/>
      </c>
      <c r="BP420" s="554" t="str">
        <f t="shared" ref="BP420" si="607">IF(BO420="","","% Wire Ice")</f>
        <v/>
      </c>
      <c r="BQ420" s="552" t="str">
        <f t="shared" ref="BQ420" si="608">IF(BN420="","",70)</f>
        <v/>
      </c>
      <c r="BR420" s="554"/>
      <c r="BS420" s="554"/>
      <c r="BT420" s="554"/>
      <c r="BU420" s="554"/>
      <c r="BV420" s="554"/>
      <c r="BW420" s="554"/>
      <c r="BX420" s="554"/>
      <c r="BY420" s="554"/>
      <c r="BZ420" s="554"/>
      <c r="CA420" s="554"/>
      <c r="CB420" s="554"/>
      <c r="CC420" s="554"/>
      <c r="CD420" s="554"/>
      <c r="CE420" s="554"/>
      <c r="CF420" s="554"/>
      <c r="CG420" s="554"/>
      <c r="CH420" s="554"/>
      <c r="CI420" s="554"/>
      <c r="CJ420" s="554"/>
      <c r="CK420" s="554"/>
      <c r="CL420" s="554"/>
      <c r="CM420" s="554"/>
      <c r="CN420" s="554"/>
      <c r="CO420" s="554"/>
      <c r="CP420" s="554"/>
      <c r="CQ420" s="554"/>
      <c r="CR420" s="554"/>
      <c r="CS420" s="554"/>
      <c r="CT420" s="554"/>
      <c r="CU420" s="554"/>
      <c r="CV420" s="554"/>
      <c r="CW420" s="554"/>
      <c r="CX420" s="554"/>
      <c r="CY420" s="554"/>
      <c r="CZ420" s="554"/>
      <c r="DA420" s="554"/>
      <c r="DB420" s="554"/>
      <c r="DC420" s="554"/>
      <c r="DD420" s="554"/>
      <c r="DE420" s="534"/>
      <c r="DF420" s="534"/>
      <c r="DG420" s="534"/>
    </row>
    <row r="421" spans="1:111" ht="15" x14ac:dyDescent="0.25">
      <c r="A421" s="549">
        <f>IFERROR(IF(INDEX('Weather Cases'!$E$10:$E$94,MATCH('Load Criteria'!X421,'Weather Cases'!$H$10:$H$94,0),1)=1,1,"-"),"-")</f>
        <v>1</v>
      </c>
      <c r="B421" s="555" t="s">
        <v>558</v>
      </c>
      <c r="C421" s="556" t="str">
        <f>IF('Weather Cases'!$E$40=0,"","DC/SC")</f>
        <v>DC/SC</v>
      </c>
      <c r="D421" s="556" t="s">
        <v>585</v>
      </c>
      <c r="E421" s="556" t="s">
        <v>22</v>
      </c>
      <c r="F421" s="556" t="s">
        <v>22</v>
      </c>
      <c r="G421" s="556" t="str">
        <f>IFERROR(IF(MID('Load Criteria'!X421,FIND("_",'Load Criteria'!X421,1)+1,1)=LEFT(Control!$D$23,1),"YES","-"),"-")</f>
        <v>YES</v>
      </c>
      <c r="H421" s="549" t="s">
        <v>22</v>
      </c>
      <c r="I421" s="557" t="s">
        <v>585</v>
      </c>
      <c r="J421" s="508">
        <v>2</v>
      </c>
      <c r="K421" s="508" t="s">
        <v>88</v>
      </c>
      <c r="L421" s="508"/>
      <c r="M421" s="508"/>
      <c r="N421" s="508"/>
      <c r="O421" s="508"/>
      <c r="P421" s="395"/>
      <c r="Q421" s="395"/>
      <c r="R421" s="395"/>
      <c r="S421" s="395"/>
      <c r="T421" s="395"/>
      <c r="U421" s="255" t="s">
        <v>568</v>
      </c>
      <c r="V421" s="551" t="s">
        <v>300</v>
      </c>
      <c r="W421" s="542" t="str">
        <f t="shared" si="583"/>
        <v>CM2_A+E NA+</v>
      </c>
      <c r="X421" s="552" t="str">
        <f>I421&amp;TEXT(J421,"0")&amp;"_"&amp;LEFT(Control!$D$23,1)</f>
        <v>CM2_A</v>
      </c>
      <c r="Y421" s="552" t="s">
        <v>433</v>
      </c>
      <c r="Z421" s="552" t="str">
        <f t="shared" si="551"/>
        <v>NA+</v>
      </c>
      <c r="AA421" s="552"/>
      <c r="AB421" s="552">
        <v>1</v>
      </c>
      <c r="AC421" s="552">
        <v>1</v>
      </c>
      <c r="AD421" s="552">
        <v>1</v>
      </c>
      <c r="AE421" s="552">
        <v>1</v>
      </c>
      <c r="AF421" s="552">
        <v>1</v>
      </c>
      <c r="AG421" s="542" t="s">
        <v>561</v>
      </c>
      <c r="AH421" s="552">
        <v>0</v>
      </c>
      <c r="AI421" s="552">
        <v>0</v>
      </c>
      <c r="AJ421" s="552">
        <v>1</v>
      </c>
      <c r="AK421" s="552">
        <v>1</v>
      </c>
      <c r="AL421" s="552">
        <v>1</v>
      </c>
      <c r="AM421" s="552">
        <v>0</v>
      </c>
      <c r="AN421" s="552">
        <v>0</v>
      </c>
      <c r="AO421" s="552">
        <v>1</v>
      </c>
      <c r="AP421" s="552">
        <v>1</v>
      </c>
      <c r="AQ421" s="552">
        <v>1</v>
      </c>
      <c r="AR421" s="552">
        <v>1</v>
      </c>
      <c r="AS421" s="552">
        <v>1</v>
      </c>
      <c r="AT421" s="552">
        <v>1</v>
      </c>
      <c r="AU421" s="552">
        <v>1</v>
      </c>
      <c r="AV421" s="553" t="str">
        <f>IF(H421="YES","'"&amp;INDEX('Structure Groups'!$C$12:$C$14,MATCH('Load Criteria'!$B$5,'Structure Groups'!$B$12:$B$14,0),1)&amp;"'","'All'")</f>
        <v>'All'</v>
      </c>
      <c r="AW421" s="552" t="s">
        <v>562</v>
      </c>
      <c r="AX421" s="552"/>
      <c r="AY421" s="552" t="str">
        <f t="shared" si="552"/>
        <v>No</v>
      </c>
      <c r="AZ421" s="554" t="str">
        <f t="shared" si="584"/>
        <v/>
      </c>
      <c r="BA421" s="554" t="str">
        <f t="shared" si="585"/>
        <v/>
      </c>
      <c r="BB421" s="552" t="str">
        <f>IF(AZ421="","",75)</f>
        <v/>
      </c>
      <c r="BC421" s="554"/>
      <c r="BD421" s="554"/>
      <c r="BE421" s="552"/>
      <c r="BF421" s="554" t="str">
        <f t="shared" si="555"/>
        <v/>
      </c>
      <c r="BG421" s="554" t="str">
        <f t="shared" si="556"/>
        <v/>
      </c>
      <c r="BH421" s="552" t="str">
        <f t="shared" si="557"/>
        <v/>
      </c>
      <c r="BI421" s="554" t="str">
        <f t="shared" si="558"/>
        <v/>
      </c>
      <c r="BJ421" s="554" t="str">
        <f t="shared" si="559"/>
        <v/>
      </c>
      <c r="BK421" s="552" t="str">
        <f t="shared" si="560"/>
        <v/>
      </c>
      <c r="BL421" s="554" t="str">
        <f t="shared" si="561"/>
        <v/>
      </c>
      <c r="BM421" s="554" t="str">
        <f t="shared" si="562"/>
        <v/>
      </c>
      <c r="BN421" s="552" t="str">
        <f t="shared" si="563"/>
        <v/>
      </c>
      <c r="BO421" s="554" t="str">
        <f t="shared" si="564"/>
        <v/>
      </c>
      <c r="BP421" s="554" t="str">
        <f t="shared" si="565"/>
        <v/>
      </c>
      <c r="BQ421" s="552" t="str">
        <f t="shared" si="566"/>
        <v/>
      </c>
      <c r="BR421" s="554"/>
      <c r="BS421" s="554"/>
      <c r="BT421" s="554"/>
      <c r="BU421" s="554"/>
      <c r="BV421" s="554"/>
      <c r="BW421" s="554"/>
      <c r="BX421" s="554"/>
      <c r="BY421" s="554"/>
      <c r="BZ421" s="554"/>
      <c r="CA421" s="554"/>
      <c r="CB421" s="554"/>
      <c r="CC421" s="554"/>
      <c r="CD421" s="554"/>
      <c r="CE421" s="554"/>
      <c r="CF421" s="554"/>
      <c r="CG421" s="554"/>
      <c r="CH421" s="554"/>
      <c r="CI421" s="554"/>
      <c r="CJ421" s="554"/>
      <c r="CK421" s="554"/>
      <c r="CL421" s="554"/>
      <c r="CM421" s="554"/>
      <c r="CN421" s="554"/>
      <c r="CO421" s="554"/>
      <c r="CP421" s="554"/>
      <c r="CQ421" s="554"/>
      <c r="CR421" s="554"/>
      <c r="CS421" s="554"/>
      <c r="CT421" s="554"/>
      <c r="CU421" s="554"/>
      <c r="CV421" s="554"/>
      <c r="CW421" s="554"/>
      <c r="CX421" s="554"/>
      <c r="CY421" s="554"/>
      <c r="CZ421" s="554"/>
      <c r="DA421" s="554"/>
      <c r="DB421" s="554"/>
      <c r="DC421" s="554"/>
      <c r="DD421" s="554"/>
      <c r="DE421" s="534"/>
      <c r="DF421" s="534"/>
      <c r="DG421" s="534"/>
    </row>
    <row r="422" spans="1:111" ht="15" x14ac:dyDescent="0.25">
      <c r="A422" s="549">
        <f>IFERROR(IF(INDEX('Weather Cases'!$E$10:$E$94,MATCH('Load Criteria'!X422,'Weather Cases'!$H$10:$H$94,0),1)=1,1,"-"),"-")</f>
        <v>1</v>
      </c>
      <c r="B422" s="555" t="s">
        <v>558</v>
      </c>
      <c r="C422" s="556" t="str">
        <f>IF('Weather Cases'!$E$40=0,"","DC/SC")</f>
        <v>DC/SC</v>
      </c>
      <c r="D422" s="556" t="s">
        <v>585</v>
      </c>
      <c r="E422" s="556" t="s">
        <v>22</v>
      </c>
      <c r="F422" s="556" t="s">
        <v>22</v>
      </c>
      <c r="G422" s="556" t="str">
        <f>IFERROR(IF(MID('Load Criteria'!X422,FIND("_",'Load Criteria'!X422,1)+1,1)=LEFT(Control!$D$23,1),"YES","-"),"-")</f>
        <v>YES</v>
      </c>
      <c r="H422" s="549" t="s">
        <v>22</v>
      </c>
      <c r="I422" s="557" t="s">
        <v>585</v>
      </c>
      <c r="J422" s="508">
        <v>2</v>
      </c>
      <c r="K422" s="508" t="s">
        <v>60</v>
      </c>
      <c r="L422" s="508" t="s">
        <v>24</v>
      </c>
      <c r="M422" s="508"/>
      <c r="N422" s="508"/>
      <c r="O422" s="508"/>
      <c r="P422" s="395"/>
      <c r="Q422" s="395"/>
      <c r="R422" s="395"/>
      <c r="S422" s="395"/>
      <c r="T422" s="395"/>
      <c r="U422" s="255" t="s">
        <v>568</v>
      </c>
      <c r="V422" s="551" t="s">
        <v>300</v>
      </c>
      <c r="W422" s="542" t="str">
        <f t="shared" ref="W422:W423" si="609">X422&amp;"+"&amp;K422&amp;IF(L422="","",CONCATENATE(L422,M422,N422,O422))&amp;" "&amp;U422</f>
        <v>CM2_A+DA NA+</v>
      </c>
      <c r="X422" s="552" t="str">
        <f>I422&amp;TEXT(J422,"0")&amp;"_"&amp;LEFT(Control!$D$23,1)</f>
        <v>CM2_A</v>
      </c>
      <c r="Y422" s="552" t="s">
        <v>433</v>
      </c>
      <c r="Z422" s="552" t="str">
        <f t="shared" ref="Z422:Z423" si="610">U422</f>
        <v>NA+</v>
      </c>
      <c r="AA422" s="552"/>
      <c r="AB422" s="552">
        <v>1</v>
      </c>
      <c r="AC422" s="552">
        <v>1</v>
      </c>
      <c r="AD422" s="552">
        <v>1</v>
      </c>
      <c r="AE422" s="552">
        <v>1</v>
      </c>
      <c r="AF422" s="552">
        <v>1</v>
      </c>
      <c r="AG422" s="542" t="s">
        <v>561</v>
      </c>
      <c r="AH422" s="552">
        <v>0</v>
      </c>
      <c r="AI422" s="552">
        <v>0</v>
      </c>
      <c r="AJ422" s="552">
        <v>1</v>
      </c>
      <c r="AK422" s="552">
        <v>1</v>
      </c>
      <c r="AL422" s="552">
        <v>1</v>
      </c>
      <c r="AM422" s="552">
        <v>0</v>
      </c>
      <c r="AN422" s="552">
        <v>0</v>
      </c>
      <c r="AO422" s="552">
        <v>1</v>
      </c>
      <c r="AP422" s="552">
        <v>1</v>
      </c>
      <c r="AQ422" s="552">
        <v>1</v>
      </c>
      <c r="AR422" s="552">
        <v>1</v>
      </c>
      <c r="AS422" s="552">
        <v>1</v>
      </c>
      <c r="AT422" s="552">
        <v>1</v>
      </c>
      <c r="AU422" s="552">
        <v>1</v>
      </c>
      <c r="AV422" s="553" t="str">
        <f>IF(H422="YES","'"&amp;INDEX('Structure Groups'!$C$12:$C$14,MATCH('Load Criteria'!$B$5,'Structure Groups'!$B$12:$B$14,0),1)&amp;"'","'All'")</f>
        <v>'All'</v>
      </c>
      <c r="AW422" s="552" t="s">
        <v>562</v>
      </c>
      <c r="AX422" s="552"/>
      <c r="AY422" s="552" t="str">
        <f t="shared" ref="AY422:AY423" si="611">IF(L422="","No","Yes")</f>
        <v>Yes</v>
      </c>
      <c r="AZ422" s="554" t="str">
        <f t="shared" ref="AZ422:AZ428" si="612">IF(AY422="No","",IF(L422="A","Ahead Spans","Back Spans"))</f>
        <v>Ahead Spans</v>
      </c>
      <c r="BA422" s="554" t="str">
        <f t="shared" ref="BA422:BA428" si="613">IF(AZ422="","","% Wire Wind Pressure")</f>
        <v>% Wire Wind Pressure</v>
      </c>
      <c r="BB422" s="552">
        <f>IF(AZ422="","",75)</f>
        <v>75</v>
      </c>
      <c r="BC422" s="554"/>
      <c r="BD422" s="554"/>
      <c r="BE422" s="552"/>
      <c r="BF422" s="554" t="str">
        <f t="shared" si="555"/>
        <v/>
      </c>
      <c r="BG422" s="554" t="str">
        <f t="shared" ref="BG422:BG423" si="614">IF(BF422="","","% Wire Ice")</f>
        <v/>
      </c>
      <c r="BH422" s="552" t="str">
        <f t="shared" ref="BH422:BH423" si="615">IF(BF422="","",40)</f>
        <v/>
      </c>
      <c r="BI422" s="554" t="str">
        <f t="shared" si="558"/>
        <v/>
      </c>
      <c r="BJ422" s="554" t="str">
        <f t="shared" ref="BJ422:BJ423" si="616">IF(BI422="","","% Wire Ice")</f>
        <v/>
      </c>
      <c r="BK422" s="552" t="str">
        <f t="shared" ref="BK422:BK423" si="617">IF(BH422="","",70)</f>
        <v/>
      </c>
      <c r="BL422" s="554" t="str">
        <f t="shared" si="561"/>
        <v/>
      </c>
      <c r="BM422" s="554" t="str">
        <f t="shared" ref="BM422:BM423" si="618">IF(BL422="","","% Wire Ice")</f>
        <v/>
      </c>
      <c r="BN422" s="552" t="str">
        <f t="shared" ref="BN422:BN423" si="619">IF(BL422="","",40)</f>
        <v/>
      </c>
      <c r="BO422" s="554" t="str">
        <f t="shared" si="564"/>
        <v/>
      </c>
      <c r="BP422" s="554" t="str">
        <f t="shared" ref="BP422:BP423" si="620">IF(BO422="","","% Wire Ice")</f>
        <v/>
      </c>
      <c r="BQ422" s="552" t="str">
        <f t="shared" ref="BQ422:BQ423" si="621">IF(BN422="","",70)</f>
        <v/>
      </c>
      <c r="BR422" s="554"/>
      <c r="BS422" s="554"/>
      <c r="BT422" s="554"/>
      <c r="BU422" s="554"/>
      <c r="BV422" s="554"/>
      <c r="BW422" s="554"/>
      <c r="BX422" s="554"/>
      <c r="BY422" s="554"/>
      <c r="BZ422" s="554"/>
      <c r="CA422" s="554"/>
      <c r="CB422" s="554"/>
      <c r="CC422" s="554"/>
      <c r="CD422" s="554"/>
      <c r="CE422" s="554"/>
      <c r="CF422" s="554"/>
      <c r="CG422" s="554"/>
      <c r="CH422" s="554"/>
      <c r="CI422" s="554"/>
      <c r="CJ422" s="554"/>
      <c r="CK422" s="554"/>
      <c r="CL422" s="554"/>
      <c r="CM422" s="554"/>
      <c r="CN422" s="554"/>
      <c r="CO422" s="554"/>
      <c r="CP422" s="554"/>
      <c r="CQ422" s="554"/>
      <c r="CR422" s="554"/>
      <c r="CS422" s="554"/>
      <c r="CT422" s="554"/>
      <c r="CU422" s="554"/>
      <c r="CV422" s="554"/>
      <c r="CW422" s="554"/>
      <c r="CX422" s="554"/>
      <c r="CY422" s="554"/>
      <c r="CZ422" s="554"/>
      <c r="DA422" s="554"/>
      <c r="DB422" s="554"/>
      <c r="DC422" s="554"/>
      <c r="DD422" s="554"/>
      <c r="DE422" s="534"/>
      <c r="DF422" s="534"/>
      <c r="DG422" s="534"/>
    </row>
    <row r="423" spans="1:111" ht="15" x14ac:dyDescent="0.25">
      <c r="A423" s="549">
        <f>IFERROR(IF(INDEX('Weather Cases'!$E$10:$E$94,MATCH('Load Criteria'!X423,'Weather Cases'!$H$10:$H$94,0),1)=1,1,"-"),"-")</f>
        <v>1</v>
      </c>
      <c r="B423" s="555" t="s">
        <v>558</v>
      </c>
      <c r="C423" s="556" t="str">
        <f>IF('Weather Cases'!$E$40=0,"","DC/SC")</f>
        <v>DC/SC</v>
      </c>
      <c r="D423" s="556" t="s">
        <v>585</v>
      </c>
      <c r="E423" s="556" t="s">
        <v>22</v>
      </c>
      <c r="F423" s="556" t="s">
        <v>22</v>
      </c>
      <c r="G423" s="556" t="str">
        <f>IFERROR(IF(MID('Load Criteria'!X423,FIND("_",'Load Criteria'!X423,1)+1,1)=LEFT(Control!$D$23,1),"YES","-"),"-")</f>
        <v>YES</v>
      </c>
      <c r="H423" s="549" t="s">
        <v>22</v>
      </c>
      <c r="I423" s="557" t="s">
        <v>585</v>
      </c>
      <c r="J423" s="508">
        <v>2</v>
      </c>
      <c r="K423" s="508" t="s">
        <v>60</v>
      </c>
      <c r="L423" s="508" t="s">
        <v>40</v>
      </c>
      <c r="M423" s="508"/>
      <c r="N423" s="508"/>
      <c r="O423" s="508"/>
      <c r="P423" s="395"/>
      <c r="Q423" s="395"/>
      <c r="R423" s="395"/>
      <c r="S423" s="395"/>
      <c r="T423" s="395"/>
      <c r="U423" s="255" t="s">
        <v>568</v>
      </c>
      <c r="V423" s="551" t="s">
        <v>300</v>
      </c>
      <c r="W423" s="542" t="str">
        <f t="shared" si="609"/>
        <v>CM2_A+DB NA+</v>
      </c>
      <c r="X423" s="552" t="str">
        <f>I423&amp;TEXT(J423,"0")&amp;"_"&amp;LEFT(Control!$D$23,1)</f>
        <v>CM2_A</v>
      </c>
      <c r="Y423" s="552" t="s">
        <v>433</v>
      </c>
      <c r="Z423" s="552" t="str">
        <f t="shared" si="610"/>
        <v>NA+</v>
      </c>
      <c r="AA423" s="552"/>
      <c r="AB423" s="552">
        <v>1</v>
      </c>
      <c r="AC423" s="552">
        <v>1</v>
      </c>
      <c r="AD423" s="552">
        <v>1</v>
      </c>
      <c r="AE423" s="552">
        <v>1</v>
      </c>
      <c r="AF423" s="552">
        <v>1</v>
      </c>
      <c r="AG423" s="542" t="s">
        <v>561</v>
      </c>
      <c r="AH423" s="552">
        <v>0</v>
      </c>
      <c r="AI423" s="552">
        <v>0</v>
      </c>
      <c r="AJ423" s="552">
        <v>1</v>
      </c>
      <c r="AK423" s="552">
        <v>1</v>
      </c>
      <c r="AL423" s="552">
        <v>1</v>
      </c>
      <c r="AM423" s="552">
        <v>0</v>
      </c>
      <c r="AN423" s="552">
        <v>0</v>
      </c>
      <c r="AO423" s="552">
        <v>1</v>
      </c>
      <c r="AP423" s="552">
        <v>1</v>
      </c>
      <c r="AQ423" s="552">
        <v>1</v>
      </c>
      <c r="AR423" s="552">
        <v>1</v>
      </c>
      <c r="AS423" s="552">
        <v>1</v>
      </c>
      <c r="AT423" s="552">
        <v>1</v>
      </c>
      <c r="AU423" s="552">
        <v>1</v>
      </c>
      <c r="AV423" s="553" t="str">
        <f>IF(H423="YES","'"&amp;INDEX('Structure Groups'!$C$12:$C$14,MATCH('Load Criteria'!$B$5,'Structure Groups'!$B$12:$B$14,0),1)&amp;"'","'All'")</f>
        <v>'All'</v>
      </c>
      <c r="AW423" s="552" t="s">
        <v>562</v>
      </c>
      <c r="AX423" s="552"/>
      <c r="AY423" s="552" t="str">
        <f t="shared" si="611"/>
        <v>Yes</v>
      </c>
      <c r="AZ423" s="554" t="str">
        <f t="shared" si="612"/>
        <v>Back Spans</v>
      </c>
      <c r="BA423" s="554" t="str">
        <f t="shared" si="613"/>
        <v>% Wire Wind Pressure</v>
      </c>
      <c r="BB423" s="552">
        <f t="shared" ref="BB423:BB428" si="622">IF(AZ423="","",75)</f>
        <v>75</v>
      </c>
      <c r="BC423" s="554"/>
      <c r="BD423" s="554"/>
      <c r="BE423" s="552"/>
      <c r="BF423" s="554" t="str">
        <f t="shared" si="555"/>
        <v/>
      </c>
      <c r="BG423" s="554" t="str">
        <f t="shared" si="614"/>
        <v/>
      </c>
      <c r="BH423" s="552" t="str">
        <f t="shared" si="615"/>
        <v/>
      </c>
      <c r="BI423" s="554" t="str">
        <f t="shared" si="558"/>
        <v/>
      </c>
      <c r="BJ423" s="554" t="str">
        <f t="shared" si="616"/>
        <v/>
      </c>
      <c r="BK423" s="552" t="str">
        <f t="shared" si="617"/>
        <v/>
      </c>
      <c r="BL423" s="554" t="str">
        <f t="shared" si="561"/>
        <v/>
      </c>
      <c r="BM423" s="554" t="str">
        <f t="shared" si="618"/>
        <v/>
      </c>
      <c r="BN423" s="552" t="str">
        <f t="shared" si="619"/>
        <v/>
      </c>
      <c r="BO423" s="554" t="str">
        <f t="shared" si="564"/>
        <v/>
      </c>
      <c r="BP423" s="554" t="str">
        <f t="shared" si="620"/>
        <v/>
      </c>
      <c r="BQ423" s="552" t="str">
        <f t="shared" si="621"/>
        <v/>
      </c>
      <c r="BR423" s="554"/>
      <c r="BS423" s="554"/>
      <c r="BT423" s="554"/>
      <c r="BU423" s="554"/>
      <c r="BV423" s="554"/>
      <c r="BW423" s="554"/>
      <c r="BX423" s="554"/>
      <c r="BY423" s="554"/>
      <c r="BZ423" s="554"/>
      <c r="CA423" s="554"/>
      <c r="CB423" s="554"/>
      <c r="CC423" s="554"/>
      <c r="CD423" s="554"/>
      <c r="CE423" s="554"/>
      <c r="CF423" s="554"/>
      <c r="CG423" s="554"/>
      <c r="CH423" s="554"/>
      <c r="CI423" s="554"/>
      <c r="CJ423" s="554"/>
      <c r="CK423" s="554"/>
      <c r="CL423" s="554"/>
      <c r="CM423" s="554"/>
      <c r="CN423" s="554"/>
      <c r="CO423" s="554"/>
      <c r="CP423" s="554"/>
      <c r="CQ423" s="554"/>
      <c r="CR423" s="554"/>
      <c r="CS423" s="554"/>
      <c r="CT423" s="554"/>
      <c r="CU423" s="554"/>
      <c r="CV423" s="554"/>
      <c r="CW423" s="554"/>
      <c r="CX423" s="554"/>
      <c r="CY423" s="554"/>
      <c r="CZ423" s="554"/>
      <c r="DA423" s="554"/>
      <c r="DB423" s="554"/>
      <c r="DC423" s="554"/>
      <c r="DD423" s="554"/>
      <c r="DE423" s="534"/>
      <c r="DF423" s="534"/>
      <c r="DG423" s="534"/>
    </row>
    <row r="424" spans="1:111" ht="15" x14ac:dyDescent="0.25">
      <c r="A424" s="549">
        <f>IFERROR(IF(INDEX('Weather Cases'!$E$10:$E$94,MATCH('Load Criteria'!X424,'Weather Cases'!$H$10:$H$94,0),1)=1,1,"-"),"-")</f>
        <v>1</v>
      </c>
      <c r="B424" s="555" t="s">
        <v>558</v>
      </c>
      <c r="C424" s="556" t="str">
        <f>IF('Weather Cases'!$E$40=0,"","DC/SC")</f>
        <v>DC/SC</v>
      </c>
      <c r="D424" s="556" t="s">
        <v>585</v>
      </c>
      <c r="E424" s="556" t="s">
        <v>22</v>
      </c>
      <c r="F424" s="556" t="s">
        <v>22</v>
      </c>
      <c r="G424" s="556" t="str">
        <f>IFERROR(IF(MID('Load Criteria'!X424,FIND("_",'Load Criteria'!X424,1)+1,1)=LEFT(Control!$D$23,1),"YES","-"),"-")</f>
        <v>YES</v>
      </c>
      <c r="H424" s="549" t="s">
        <v>22</v>
      </c>
      <c r="I424" s="557" t="s">
        <v>585</v>
      </c>
      <c r="J424" s="508">
        <v>2</v>
      </c>
      <c r="K424" s="508" t="s">
        <v>88</v>
      </c>
      <c r="L424" s="508"/>
      <c r="M424" s="508"/>
      <c r="N424" s="508"/>
      <c r="O424" s="508"/>
      <c r="P424" s="395"/>
      <c r="Q424" s="395"/>
      <c r="R424" s="395"/>
      <c r="S424" s="395"/>
      <c r="T424" s="395"/>
      <c r="U424" s="255" t="s">
        <v>574</v>
      </c>
      <c r="V424" s="551" t="s">
        <v>300</v>
      </c>
      <c r="W424" s="542" t="str">
        <f t="shared" si="583"/>
        <v>CM2_A+E NA-</v>
      </c>
      <c r="X424" s="552" t="str">
        <f>I424&amp;TEXT(J424,"0")&amp;"_"&amp;LEFT(Control!$D$23,1)</f>
        <v>CM2_A</v>
      </c>
      <c r="Y424" s="552" t="s">
        <v>433</v>
      </c>
      <c r="Z424" s="552" t="str">
        <f t="shared" si="551"/>
        <v>NA-</v>
      </c>
      <c r="AA424" s="552"/>
      <c r="AB424" s="552">
        <v>1</v>
      </c>
      <c r="AC424" s="552">
        <v>1</v>
      </c>
      <c r="AD424" s="552">
        <v>1</v>
      </c>
      <c r="AE424" s="552">
        <v>1</v>
      </c>
      <c r="AF424" s="552">
        <v>1</v>
      </c>
      <c r="AG424" s="542" t="s">
        <v>561</v>
      </c>
      <c r="AH424" s="552">
        <v>0</v>
      </c>
      <c r="AI424" s="552">
        <v>0</v>
      </c>
      <c r="AJ424" s="552">
        <v>1</v>
      </c>
      <c r="AK424" s="552">
        <v>1</v>
      </c>
      <c r="AL424" s="552">
        <v>1</v>
      </c>
      <c r="AM424" s="552">
        <v>0</v>
      </c>
      <c r="AN424" s="552">
        <v>0</v>
      </c>
      <c r="AO424" s="552">
        <v>1</v>
      </c>
      <c r="AP424" s="552">
        <v>1</v>
      </c>
      <c r="AQ424" s="552">
        <v>1</v>
      </c>
      <c r="AR424" s="552">
        <v>1</v>
      </c>
      <c r="AS424" s="552">
        <v>1</v>
      </c>
      <c r="AT424" s="552">
        <v>1</v>
      </c>
      <c r="AU424" s="552">
        <v>1</v>
      </c>
      <c r="AV424" s="553" t="str">
        <f>IF(H424="YES","'"&amp;INDEX('Structure Groups'!$C$12:$C$14,MATCH('Load Criteria'!$B$5,'Structure Groups'!$B$12:$B$14,0),1)&amp;"'","'All'")</f>
        <v>'All'</v>
      </c>
      <c r="AW424" s="552" t="s">
        <v>562</v>
      </c>
      <c r="AX424" s="552"/>
      <c r="AY424" s="552" t="str">
        <f t="shared" si="552"/>
        <v>No</v>
      </c>
      <c r="AZ424" s="554" t="str">
        <f t="shared" si="612"/>
        <v/>
      </c>
      <c r="BA424" s="554" t="str">
        <f t="shared" si="613"/>
        <v/>
      </c>
      <c r="BB424" s="552" t="str">
        <f t="shared" si="622"/>
        <v/>
      </c>
      <c r="BC424" s="554"/>
      <c r="BD424" s="554"/>
      <c r="BE424" s="552"/>
      <c r="BF424" s="554" t="str">
        <f t="shared" si="555"/>
        <v/>
      </c>
      <c r="BG424" s="554" t="str">
        <f t="shared" si="556"/>
        <v/>
      </c>
      <c r="BH424" s="552" t="str">
        <f t="shared" si="557"/>
        <v/>
      </c>
      <c r="BI424" s="554" t="str">
        <f t="shared" si="558"/>
        <v/>
      </c>
      <c r="BJ424" s="554" t="str">
        <f t="shared" si="559"/>
        <v/>
      </c>
      <c r="BK424" s="552" t="str">
        <f t="shared" si="560"/>
        <v/>
      </c>
      <c r="BL424" s="554" t="str">
        <f t="shared" si="561"/>
        <v/>
      </c>
      <c r="BM424" s="554" t="str">
        <f t="shared" si="562"/>
        <v/>
      </c>
      <c r="BN424" s="552" t="str">
        <f t="shared" si="563"/>
        <v/>
      </c>
      <c r="BO424" s="554" t="str">
        <f t="shared" si="564"/>
        <v/>
      </c>
      <c r="BP424" s="554" t="str">
        <f t="shared" si="565"/>
        <v/>
      </c>
      <c r="BQ424" s="552" t="str">
        <f t="shared" si="566"/>
        <v/>
      </c>
      <c r="BR424" s="554"/>
      <c r="BS424" s="554"/>
      <c r="BT424" s="554"/>
      <c r="BU424" s="554"/>
      <c r="BV424" s="554"/>
      <c r="BW424" s="554"/>
      <c r="BX424" s="554"/>
      <c r="BY424" s="554"/>
      <c r="BZ424" s="554"/>
      <c r="CA424" s="554"/>
      <c r="CB424" s="554"/>
      <c r="CC424" s="554"/>
      <c r="CD424" s="554"/>
      <c r="CE424" s="554"/>
      <c r="CF424" s="554"/>
      <c r="CG424" s="554"/>
      <c r="CH424" s="554"/>
      <c r="CI424" s="554"/>
      <c r="CJ424" s="554"/>
      <c r="CK424" s="554"/>
      <c r="CL424" s="554"/>
      <c r="CM424" s="554"/>
      <c r="CN424" s="554"/>
      <c r="CO424" s="554"/>
      <c r="CP424" s="554"/>
      <c r="CQ424" s="554"/>
      <c r="CR424" s="554"/>
      <c r="CS424" s="554"/>
      <c r="CT424" s="554"/>
      <c r="CU424" s="554"/>
      <c r="CV424" s="554"/>
      <c r="CW424" s="554"/>
      <c r="CX424" s="554"/>
      <c r="CY424" s="554"/>
      <c r="CZ424" s="554"/>
      <c r="DA424" s="554"/>
      <c r="DB424" s="554"/>
      <c r="DC424" s="554"/>
      <c r="DD424" s="554"/>
      <c r="DE424" s="534"/>
      <c r="DF424" s="534"/>
      <c r="DG424" s="534"/>
    </row>
    <row r="425" spans="1:111" ht="15" x14ac:dyDescent="0.25">
      <c r="A425" s="549">
        <f>IFERROR(IF(INDEX('Weather Cases'!$E$10:$E$94,MATCH('Load Criteria'!X425,'Weather Cases'!$H$10:$H$94,0),1)=1,1,"-"),"-")</f>
        <v>1</v>
      </c>
      <c r="B425" s="555" t="s">
        <v>558</v>
      </c>
      <c r="C425" s="556" t="str">
        <f>IF('Weather Cases'!$E$40=0,"","DC/SC")</f>
        <v>DC/SC</v>
      </c>
      <c r="D425" s="556" t="s">
        <v>585</v>
      </c>
      <c r="E425" s="556" t="s">
        <v>22</v>
      </c>
      <c r="F425" s="556" t="s">
        <v>22</v>
      </c>
      <c r="G425" s="556" t="str">
        <f>IFERROR(IF(MID('Load Criteria'!X425,FIND("_",'Load Criteria'!X425,1)+1,1)=LEFT(Control!$D$23,1),"YES","-"),"-")</f>
        <v>YES</v>
      </c>
      <c r="H425" s="549" t="s">
        <v>22</v>
      </c>
      <c r="I425" s="557" t="s">
        <v>585</v>
      </c>
      <c r="J425" s="508">
        <v>2</v>
      </c>
      <c r="K425" s="508" t="s">
        <v>60</v>
      </c>
      <c r="L425" s="508" t="s">
        <v>24</v>
      </c>
      <c r="M425" s="508"/>
      <c r="N425" s="508"/>
      <c r="O425" s="508"/>
      <c r="P425" s="395"/>
      <c r="Q425" s="395"/>
      <c r="R425" s="395"/>
      <c r="S425" s="395"/>
      <c r="T425" s="395"/>
      <c r="U425" s="255" t="s">
        <v>574</v>
      </c>
      <c r="V425" s="551" t="s">
        <v>300</v>
      </c>
      <c r="W425" s="542" t="str">
        <f t="shared" ref="W425:W426" si="623">X425&amp;"+"&amp;K425&amp;IF(L425="","",CONCATENATE(L425,M425,N425,O425))&amp;" "&amp;U425</f>
        <v>CM2_A+DA NA-</v>
      </c>
      <c r="X425" s="552" t="str">
        <f>I425&amp;TEXT(J425,"0")&amp;"_"&amp;LEFT(Control!$D$23,1)</f>
        <v>CM2_A</v>
      </c>
      <c r="Y425" s="552" t="s">
        <v>433</v>
      </c>
      <c r="Z425" s="552" t="str">
        <f t="shared" ref="Z425:Z438" si="624">U425</f>
        <v>NA-</v>
      </c>
      <c r="AA425" s="552"/>
      <c r="AB425" s="552">
        <v>1</v>
      </c>
      <c r="AC425" s="552">
        <v>1</v>
      </c>
      <c r="AD425" s="552">
        <v>1</v>
      </c>
      <c r="AE425" s="552">
        <v>1</v>
      </c>
      <c r="AF425" s="552">
        <v>1</v>
      </c>
      <c r="AG425" s="542" t="s">
        <v>561</v>
      </c>
      <c r="AH425" s="552">
        <v>0</v>
      </c>
      <c r="AI425" s="552">
        <v>0</v>
      </c>
      <c r="AJ425" s="552">
        <v>1</v>
      </c>
      <c r="AK425" s="552">
        <v>1</v>
      </c>
      <c r="AL425" s="552">
        <v>1</v>
      </c>
      <c r="AM425" s="552">
        <v>0</v>
      </c>
      <c r="AN425" s="552">
        <v>0</v>
      </c>
      <c r="AO425" s="552">
        <v>1</v>
      </c>
      <c r="AP425" s="552">
        <v>1</v>
      </c>
      <c r="AQ425" s="552">
        <v>1</v>
      </c>
      <c r="AR425" s="552">
        <v>1</v>
      </c>
      <c r="AS425" s="552">
        <v>1</v>
      </c>
      <c r="AT425" s="552">
        <v>1</v>
      </c>
      <c r="AU425" s="552">
        <v>1</v>
      </c>
      <c r="AV425" s="553" t="str">
        <f>IF(H425="YES","'"&amp;INDEX('Structure Groups'!$C$12:$C$14,MATCH('Load Criteria'!$B$5,'Structure Groups'!$B$12:$B$14,0),1)&amp;"'","'All'")</f>
        <v>'All'</v>
      </c>
      <c r="AW425" s="552" t="s">
        <v>562</v>
      </c>
      <c r="AX425" s="552"/>
      <c r="AY425" s="552" t="str">
        <f t="shared" ref="AY425:AY438" si="625">IF(L425="","No","Yes")</f>
        <v>Yes</v>
      </c>
      <c r="AZ425" s="554" t="str">
        <f t="shared" si="612"/>
        <v>Ahead Spans</v>
      </c>
      <c r="BA425" s="554" t="str">
        <f t="shared" si="613"/>
        <v>% Wire Wind Pressure</v>
      </c>
      <c r="BB425" s="552">
        <f t="shared" si="622"/>
        <v>75</v>
      </c>
      <c r="BC425" s="554"/>
      <c r="BD425" s="554"/>
      <c r="BE425" s="552"/>
      <c r="BF425" s="554" t="str">
        <f t="shared" si="555"/>
        <v/>
      </c>
      <c r="BG425" s="554" t="str">
        <f t="shared" ref="BG425:BG432" si="626">IF(BF425="","","% Wire Ice")</f>
        <v/>
      </c>
      <c r="BH425" s="552" t="str">
        <f t="shared" ref="BH425:BH432" si="627">IF(BF425="","",40)</f>
        <v/>
      </c>
      <c r="BI425" s="554" t="str">
        <f t="shared" si="558"/>
        <v/>
      </c>
      <c r="BJ425" s="554" t="str">
        <f t="shared" ref="BJ425:BJ432" si="628">IF(BI425="","","% Wire Ice")</f>
        <v/>
      </c>
      <c r="BK425" s="552" t="str">
        <f t="shared" ref="BK425:BK432" si="629">IF(BH425="","",70)</f>
        <v/>
      </c>
      <c r="BL425" s="554" t="str">
        <f t="shared" si="561"/>
        <v/>
      </c>
      <c r="BM425" s="554" t="str">
        <f t="shared" ref="BM425:BM432" si="630">IF(BL425="","","% Wire Ice")</f>
        <v/>
      </c>
      <c r="BN425" s="552" t="str">
        <f t="shared" ref="BN425:BN432" si="631">IF(BL425="","",40)</f>
        <v/>
      </c>
      <c r="BO425" s="554" t="str">
        <f t="shared" si="564"/>
        <v/>
      </c>
      <c r="BP425" s="554" t="str">
        <f t="shared" ref="BP425:BP432" si="632">IF(BO425="","","% Wire Ice")</f>
        <v/>
      </c>
      <c r="BQ425" s="552" t="str">
        <f t="shared" ref="BQ425:BQ432" si="633">IF(BN425="","",70)</f>
        <v/>
      </c>
      <c r="BR425" s="554"/>
      <c r="BS425" s="554"/>
      <c r="BT425" s="554"/>
      <c r="BU425" s="554"/>
      <c r="BV425" s="554"/>
      <c r="BW425" s="554"/>
      <c r="BX425" s="554"/>
      <c r="BY425" s="554"/>
      <c r="BZ425" s="554"/>
      <c r="CA425" s="554"/>
      <c r="CB425" s="554"/>
      <c r="CC425" s="554"/>
      <c r="CD425" s="554"/>
      <c r="CE425" s="554"/>
      <c r="CF425" s="554"/>
      <c r="CG425" s="554"/>
      <c r="CH425" s="554"/>
      <c r="CI425" s="554"/>
      <c r="CJ425" s="554"/>
      <c r="CK425" s="554"/>
      <c r="CL425" s="554"/>
      <c r="CM425" s="554"/>
      <c r="CN425" s="554"/>
      <c r="CO425" s="554"/>
      <c r="CP425" s="554"/>
      <c r="CQ425" s="554"/>
      <c r="CR425" s="554"/>
      <c r="CS425" s="554"/>
      <c r="CT425" s="554"/>
      <c r="CU425" s="554"/>
      <c r="CV425" s="554"/>
      <c r="CW425" s="554"/>
      <c r="CX425" s="554"/>
      <c r="CY425" s="554"/>
      <c r="CZ425" s="554"/>
      <c r="DA425" s="554"/>
      <c r="DB425" s="554"/>
      <c r="DC425" s="554"/>
      <c r="DD425" s="554"/>
      <c r="DE425" s="534"/>
      <c r="DF425" s="534"/>
      <c r="DG425" s="534"/>
    </row>
    <row r="426" spans="1:111" ht="15" x14ac:dyDescent="0.25">
      <c r="A426" s="549">
        <f>IFERROR(IF(INDEX('Weather Cases'!$E$10:$E$94,MATCH('Load Criteria'!X426,'Weather Cases'!$H$10:$H$94,0),1)=1,1,"-"),"-")</f>
        <v>1</v>
      </c>
      <c r="B426" s="555" t="s">
        <v>558</v>
      </c>
      <c r="C426" s="556" t="str">
        <f>IF('Weather Cases'!$E$40=0,"","DC/SC")</f>
        <v>DC/SC</v>
      </c>
      <c r="D426" s="556" t="s">
        <v>585</v>
      </c>
      <c r="E426" s="556" t="s">
        <v>22</v>
      </c>
      <c r="F426" s="556" t="s">
        <v>22</v>
      </c>
      <c r="G426" s="556" t="str">
        <f>IFERROR(IF(MID('Load Criteria'!X426,FIND("_",'Load Criteria'!X426,1)+1,1)=LEFT(Control!$D$23,1),"YES","-"),"-")</f>
        <v>YES</v>
      </c>
      <c r="H426" s="549" t="s">
        <v>22</v>
      </c>
      <c r="I426" s="557" t="s">
        <v>585</v>
      </c>
      <c r="J426" s="508">
        <v>2</v>
      </c>
      <c r="K426" s="508" t="s">
        <v>60</v>
      </c>
      <c r="L426" s="508" t="s">
        <v>40</v>
      </c>
      <c r="M426" s="508"/>
      <c r="N426" s="508"/>
      <c r="O426" s="508"/>
      <c r="P426" s="395"/>
      <c r="Q426" s="395"/>
      <c r="R426" s="395"/>
      <c r="S426" s="395"/>
      <c r="T426" s="395"/>
      <c r="U426" s="255" t="s">
        <v>574</v>
      </c>
      <c r="V426" s="551" t="s">
        <v>300</v>
      </c>
      <c r="W426" s="542" t="str">
        <f t="shared" si="623"/>
        <v>CM2_A+DB NA-</v>
      </c>
      <c r="X426" s="552" t="str">
        <f>I426&amp;TEXT(J426,"0")&amp;"_"&amp;LEFT(Control!$D$23,1)</f>
        <v>CM2_A</v>
      </c>
      <c r="Y426" s="552" t="s">
        <v>433</v>
      </c>
      <c r="Z426" s="552" t="str">
        <f t="shared" si="624"/>
        <v>NA-</v>
      </c>
      <c r="AA426" s="552"/>
      <c r="AB426" s="552">
        <v>1</v>
      </c>
      <c r="AC426" s="552">
        <v>1</v>
      </c>
      <c r="AD426" s="552">
        <v>1</v>
      </c>
      <c r="AE426" s="552">
        <v>1</v>
      </c>
      <c r="AF426" s="552">
        <v>1</v>
      </c>
      <c r="AG426" s="542" t="s">
        <v>561</v>
      </c>
      <c r="AH426" s="552">
        <v>0</v>
      </c>
      <c r="AI426" s="552">
        <v>0</v>
      </c>
      <c r="AJ426" s="552">
        <v>1</v>
      </c>
      <c r="AK426" s="552">
        <v>1</v>
      </c>
      <c r="AL426" s="552">
        <v>1</v>
      </c>
      <c r="AM426" s="552">
        <v>0</v>
      </c>
      <c r="AN426" s="552">
        <v>0</v>
      </c>
      <c r="AO426" s="552">
        <v>1</v>
      </c>
      <c r="AP426" s="552">
        <v>1</v>
      </c>
      <c r="AQ426" s="552">
        <v>1</v>
      </c>
      <c r="AR426" s="552">
        <v>1</v>
      </c>
      <c r="AS426" s="552">
        <v>1</v>
      </c>
      <c r="AT426" s="552">
        <v>1</v>
      </c>
      <c r="AU426" s="552">
        <v>1</v>
      </c>
      <c r="AV426" s="553" t="str">
        <f>IF(H426="YES","'"&amp;INDEX('Structure Groups'!$C$12:$C$14,MATCH('Load Criteria'!$B$5,'Structure Groups'!$B$12:$B$14,0),1)&amp;"'","'All'")</f>
        <v>'All'</v>
      </c>
      <c r="AW426" s="552" t="s">
        <v>562</v>
      </c>
      <c r="AX426" s="552"/>
      <c r="AY426" s="552" t="str">
        <f t="shared" si="625"/>
        <v>Yes</v>
      </c>
      <c r="AZ426" s="554" t="str">
        <f t="shared" si="612"/>
        <v>Back Spans</v>
      </c>
      <c r="BA426" s="554" t="str">
        <f t="shared" si="613"/>
        <v>% Wire Wind Pressure</v>
      </c>
      <c r="BB426" s="552">
        <f t="shared" si="622"/>
        <v>75</v>
      </c>
      <c r="BC426" s="554"/>
      <c r="BD426" s="554"/>
      <c r="BE426" s="552"/>
      <c r="BF426" s="554" t="str">
        <f t="shared" si="555"/>
        <v/>
      </c>
      <c r="BG426" s="554" t="str">
        <f t="shared" si="626"/>
        <v/>
      </c>
      <c r="BH426" s="552" t="str">
        <f t="shared" si="627"/>
        <v/>
      </c>
      <c r="BI426" s="554" t="str">
        <f t="shared" si="558"/>
        <v/>
      </c>
      <c r="BJ426" s="554" t="str">
        <f t="shared" si="628"/>
        <v/>
      </c>
      <c r="BK426" s="552" t="str">
        <f t="shared" si="629"/>
        <v/>
      </c>
      <c r="BL426" s="554" t="str">
        <f t="shared" si="561"/>
        <v/>
      </c>
      <c r="BM426" s="554" t="str">
        <f t="shared" si="630"/>
        <v/>
      </c>
      <c r="BN426" s="552" t="str">
        <f t="shared" si="631"/>
        <v/>
      </c>
      <c r="BO426" s="554" t="str">
        <f t="shared" si="564"/>
        <v/>
      </c>
      <c r="BP426" s="554" t="str">
        <f t="shared" si="632"/>
        <v/>
      </c>
      <c r="BQ426" s="552" t="str">
        <f t="shared" si="633"/>
        <v/>
      </c>
      <c r="BR426" s="554"/>
      <c r="BS426" s="554"/>
      <c r="BT426" s="554"/>
      <c r="BU426" s="554"/>
      <c r="BV426" s="554"/>
      <c r="BW426" s="554"/>
      <c r="BX426" s="554"/>
      <c r="BY426" s="554"/>
      <c r="BZ426" s="554"/>
      <c r="CA426" s="554"/>
      <c r="CB426" s="554"/>
      <c r="CC426" s="554"/>
      <c r="CD426" s="554"/>
      <c r="CE426" s="554"/>
      <c r="CF426" s="554"/>
      <c r="CG426" s="554"/>
      <c r="CH426" s="554"/>
      <c r="CI426" s="554"/>
      <c r="CJ426" s="554"/>
      <c r="CK426" s="554"/>
      <c r="CL426" s="554"/>
      <c r="CM426" s="554"/>
      <c r="CN426" s="554"/>
      <c r="CO426" s="554"/>
      <c r="CP426" s="554"/>
      <c r="CQ426" s="554"/>
      <c r="CR426" s="554"/>
      <c r="CS426" s="554"/>
      <c r="CT426" s="554"/>
      <c r="CU426" s="554"/>
      <c r="CV426" s="554"/>
      <c r="CW426" s="554"/>
      <c r="CX426" s="554"/>
      <c r="CY426" s="554"/>
      <c r="CZ426" s="554"/>
      <c r="DA426" s="554"/>
      <c r="DB426" s="554"/>
      <c r="DC426" s="554"/>
      <c r="DD426" s="554"/>
      <c r="DE426" s="534"/>
      <c r="DF426" s="534"/>
      <c r="DG426" s="534"/>
    </row>
    <row r="427" spans="1:111" ht="15" x14ac:dyDescent="0.25">
      <c r="A427" s="549">
        <f>IFERROR(IF(INDEX('Weather Cases'!$E$10:$E$94,MATCH('Load Criteria'!X427,'Weather Cases'!$H$10:$H$94,0),1)=1,1,"-"),"-")</f>
        <v>1</v>
      </c>
      <c r="B427" s="555" t="s">
        <v>558</v>
      </c>
      <c r="C427" s="556" t="str">
        <f>IF('Weather Cases'!$E$40=0,"","DC/SC")</f>
        <v>DC/SC</v>
      </c>
      <c r="D427" s="556" t="s">
        <v>585</v>
      </c>
      <c r="E427" s="556" t="s">
        <v>22</v>
      </c>
      <c r="F427" s="556" t="s">
        <v>22</v>
      </c>
      <c r="G427" s="556" t="str">
        <f>IFERROR(IF(MID('Load Criteria'!X427,FIND("_",'Load Criteria'!X427,1)+1,1)=LEFT(Control!$D$23,1),"YES","-"),"-")</f>
        <v>-</v>
      </c>
      <c r="H427" s="549" t="str">
        <f>IF(INDEX('Weather Cases'!$G$10:$G$94,MATCH('Load Criteria'!X427,'Weather Cases'!$H$10:$H$94,0),1)="H","YES","-")</f>
        <v>YES</v>
      </c>
      <c r="I427" s="557" t="s">
        <v>585</v>
      </c>
      <c r="J427" s="508" t="s">
        <v>586</v>
      </c>
      <c r="K427" s="508" t="s">
        <v>88</v>
      </c>
      <c r="L427" s="508"/>
      <c r="M427" s="508"/>
      <c r="N427" s="508"/>
      <c r="O427" s="508"/>
      <c r="P427" s="395"/>
      <c r="Q427" s="395"/>
      <c r="R427" s="395"/>
      <c r="S427" s="395"/>
      <c r="T427" s="395"/>
      <c r="U427" s="255" t="s">
        <v>568</v>
      </c>
      <c r="V427" s="551" t="s">
        <v>300</v>
      </c>
      <c r="W427" s="588" t="str">
        <f>X427&amp;"+"&amp;K427&amp;IF(L427="","",CONCATENATE(L427,M427,N427,O427))&amp;" "&amp;U427</f>
        <v>CM2S_8+E NA+</v>
      </c>
      <c r="X427" s="552" t="str">
        <f>I427&amp;TEXT(J427,"0000")&amp;"_"&amp;LEFT(Control!$D$22,LEN(Control!$D$22)-2)</f>
        <v>CM2S_8</v>
      </c>
      <c r="Y427" s="552" t="s">
        <v>433</v>
      </c>
      <c r="Z427" s="552" t="str">
        <f t="shared" ref="Z427" si="634">U427</f>
        <v>NA+</v>
      </c>
      <c r="AA427" s="552"/>
      <c r="AB427" s="552">
        <v>1</v>
      </c>
      <c r="AC427" s="552">
        <v>1</v>
      </c>
      <c r="AD427" s="552">
        <v>1</v>
      </c>
      <c r="AE427" s="552">
        <v>1</v>
      </c>
      <c r="AF427" s="552">
        <v>1</v>
      </c>
      <c r="AG427" s="542" t="s">
        <v>561</v>
      </c>
      <c r="AH427" s="552">
        <v>0</v>
      </c>
      <c r="AI427" s="552">
        <v>0</v>
      </c>
      <c r="AJ427" s="552">
        <v>1</v>
      </c>
      <c r="AK427" s="552">
        <v>1</v>
      </c>
      <c r="AL427" s="552">
        <v>1</v>
      </c>
      <c r="AM427" s="552">
        <v>0</v>
      </c>
      <c r="AN427" s="552">
        <v>0</v>
      </c>
      <c r="AO427" s="552">
        <v>1</v>
      </c>
      <c r="AP427" s="552">
        <v>1</v>
      </c>
      <c r="AQ427" s="552">
        <v>1</v>
      </c>
      <c r="AR427" s="552">
        <v>1</v>
      </c>
      <c r="AS427" s="552">
        <v>1</v>
      </c>
      <c r="AT427" s="552">
        <v>1</v>
      </c>
      <c r="AU427" s="552">
        <v>1</v>
      </c>
      <c r="AV427" s="553" t="str">
        <f>IF(H427="YES","'"&amp;INDEX('Structure Groups'!$C$12:$C$14,MATCH('Load Criteria'!$B$5,'Structure Groups'!$B$12:$B$14,0),1)&amp;"'","'All'")</f>
        <v>'GL Max 800m'</v>
      </c>
      <c r="AW427" s="552" t="s">
        <v>562</v>
      </c>
      <c r="AX427" s="552"/>
      <c r="AY427" s="552" t="str">
        <f t="shared" ref="AY427" si="635">IF(L427="","No","Yes")</f>
        <v>No</v>
      </c>
      <c r="AZ427" s="554" t="str">
        <f t="shared" ref="AZ427" si="636">IF(AY427="No","",IF(L427="A","Ahead Spans","Back Spans"))</f>
        <v/>
      </c>
      <c r="BA427" s="554" t="str">
        <f t="shared" ref="BA427" si="637">IF(AZ427="","","% Wire Wind Pressure")</f>
        <v/>
      </c>
      <c r="BB427" s="552" t="str">
        <f t="shared" ref="BB427" si="638">IF(AZ427="","",75)</f>
        <v/>
      </c>
      <c r="BC427" s="554"/>
      <c r="BD427" s="554"/>
      <c r="BE427" s="552"/>
      <c r="BF427" s="554" t="str">
        <f t="shared" si="555"/>
        <v/>
      </c>
      <c r="BG427" s="554" t="str">
        <f t="shared" ref="BG427" si="639">IF(BF427="","","% Wire Ice")</f>
        <v/>
      </c>
      <c r="BH427" s="552" t="str">
        <f t="shared" ref="BH427" si="640">IF(BF427="","",40)</f>
        <v/>
      </c>
      <c r="BI427" s="554" t="str">
        <f t="shared" si="558"/>
        <v/>
      </c>
      <c r="BJ427" s="554" t="str">
        <f t="shared" ref="BJ427" si="641">IF(BI427="","","% Wire Ice")</f>
        <v/>
      </c>
      <c r="BK427" s="552" t="str">
        <f t="shared" ref="BK427" si="642">IF(BH427="","",70)</f>
        <v/>
      </c>
      <c r="BL427" s="554" t="str">
        <f t="shared" si="561"/>
        <v/>
      </c>
      <c r="BM427" s="554" t="str">
        <f t="shared" ref="BM427" si="643">IF(BL427="","","% Wire Ice")</f>
        <v/>
      </c>
      <c r="BN427" s="552" t="str">
        <f t="shared" ref="BN427" si="644">IF(BL427="","",40)</f>
        <v/>
      </c>
      <c r="BO427" s="554" t="str">
        <f t="shared" si="564"/>
        <v/>
      </c>
      <c r="BP427" s="554" t="str">
        <f t="shared" ref="BP427" si="645">IF(BO427="","","% Wire Ice")</f>
        <v/>
      </c>
      <c r="BQ427" s="552" t="str">
        <f t="shared" ref="BQ427" si="646">IF(BN427="","",70)</f>
        <v/>
      </c>
      <c r="BR427" s="554"/>
      <c r="BS427" s="554"/>
      <c r="BT427" s="554"/>
      <c r="BU427" s="554"/>
      <c r="BV427" s="554"/>
      <c r="BW427" s="554"/>
      <c r="BX427" s="554"/>
      <c r="BY427" s="554"/>
      <c r="BZ427" s="554"/>
      <c r="CA427" s="554"/>
      <c r="CB427" s="554"/>
      <c r="CC427" s="554"/>
      <c r="CD427" s="554"/>
      <c r="CE427" s="554"/>
      <c r="CF427" s="554"/>
      <c r="CG427" s="554"/>
      <c r="CH427" s="554"/>
      <c r="CI427" s="554"/>
      <c r="CJ427" s="554"/>
      <c r="CK427" s="554"/>
      <c r="CL427" s="554"/>
      <c r="CM427" s="554"/>
      <c r="CN427" s="554"/>
      <c r="CO427" s="554"/>
      <c r="CP427" s="554"/>
      <c r="CQ427" s="554"/>
      <c r="CR427" s="554"/>
      <c r="CS427" s="554"/>
      <c r="CT427" s="554"/>
      <c r="CU427" s="554"/>
      <c r="CV427" s="554"/>
      <c r="CW427" s="554"/>
      <c r="CX427" s="554"/>
      <c r="CY427" s="554"/>
      <c r="CZ427" s="554"/>
      <c r="DA427" s="554"/>
      <c r="DB427" s="554"/>
      <c r="DC427" s="554"/>
      <c r="DD427" s="554"/>
      <c r="DE427" s="534"/>
      <c r="DF427" s="534"/>
      <c r="DG427" s="534"/>
    </row>
    <row r="428" spans="1:111" ht="15" x14ac:dyDescent="0.25">
      <c r="A428" s="549">
        <f>IFERROR(IF(INDEX('Weather Cases'!$E$10:$E$94,MATCH('Load Criteria'!X428,'Weather Cases'!$H$10:$H$94,0),1)=1,1,"-"),"-")</f>
        <v>1</v>
      </c>
      <c r="B428" s="555" t="s">
        <v>558</v>
      </c>
      <c r="C428" s="556" t="str">
        <f>IF('Weather Cases'!$E$40=0,"","DC/SC")</f>
        <v>DC/SC</v>
      </c>
      <c r="D428" s="556" t="s">
        <v>585</v>
      </c>
      <c r="E428" s="556" t="s">
        <v>22</v>
      </c>
      <c r="F428" s="556" t="s">
        <v>22</v>
      </c>
      <c r="G428" s="556" t="str">
        <f>IFERROR(IF(MID('Load Criteria'!X428,FIND("_",'Load Criteria'!X428,1)+1,1)=LEFT(Control!$D$23,1),"YES","-"),"-")</f>
        <v>-</v>
      </c>
      <c r="H428" s="549" t="str">
        <f>IF(INDEX('Weather Cases'!$G$10:$G$94,MATCH('Load Criteria'!X428,'Weather Cases'!$H$10:$H$94,0),1)="H","YES","-")</f>
        <v>YES</v>
      </c>
      <c r="I428" s="557" t="s">
        <v>585</v>
      </c>
      <c r="J428" s="508" t="s">
        <v>586</v>
      </c>
      <c r="K428" s="508" t="s">
        <v>88</v>
      </c>
      <c r="L428" s="508"/>
      <c r="M428" s="508"/>
      <c r="N428" s="508"/>
      <c r="O428" s="508"/>
      <c r="P428" s="395"/>
      <c r="Q428" s="395"/>
      <c r="R428" s="395"/>
      <c r="S428" s="395"/>
      <c r="T428" s="395"/>
      <c r="U428" s="255" t="s">
        <v>574</v>
      </c>
      <c r="V428" s="551" t="s">
        <v>300</v>
      </c>
      <c r="W428" s="542" t="str">
        <f>X428&amp;"+"&amp;K428&amp;IF(L428="","",CONCATENATE(L428,M428,N428,O428))&amp;" "&amp;U428</f>
        <v>CM2S_8+E NA-</v>
      </c>
      <c r="X428" s="552" t="str">
        <f>I428&amp;TEXT(J428,"0000")&amp;"_"&amp;LEFT(Control!$D$22,LEN(Control!$D$22)-2)</f>
        <v>CM2S_8</v>
      </c>
      <c r="Y428" s="552" t="s">
        <v>433</v>
      </c>
      <c r="Z428" s="552" t="str">
        <f t="shared" si="624"/>
        <v>NA-</v>
      </c>
      <c r="AA428" s="552"/>
      <c r="AB428" s="552">
        <v>1</v>
      </c>
      <c r="AC428" s="552">
        <v>1</v>
      </c>
      <c r="AD428" s="552">
        <v>1</v>
      </c>
      <c r="AE428" s="552">
        <v>1</v>
      </c>
      <c r="AF428" s="552">
        <v>1</v>
      </c>
      <c r="AG428" s="542" t="s">
        <v>561</v>
      </c>
      <c r="AH428" s="552">
        <v>0</v>
      </c>
      <c r="AI428" s="552">
        <v>0</v>
      </c>
      <c r="AJ428" s="552">
        <v>1</v>
      </c>
      <c r="AK428" s="552">
        <v>1</v>
      </c>
      <c r="AL428" s="552">
        <v>1</v>
      </c>
      <c r="AM428" s="552">
        <v>0</v>
      </c>
      <c r="AN428" s="552">
        <v>0</v>
      </c>
      <c r="AO428" s="552">
        <v>1</v>
      </c>
      <c r="AP428" s="552">
        <v>1</v>
      </c>
      <c r="AQ428" s="552">
        <v>1</v>
      </c>
      <c r="AR428" s="552">
        <v>1</v>
      </c>
      <c r="AS428" s="552">
        <v>1</v>
      </c>
      <c r="AT428" s="552">
        <v>1</v>
      </c>
      <c r="AU428" s="552">
        <v>1</v>
      </c>
      <c r="AV428" s="553" t="str">
        <f>IF(H428="YES","'"&amp;INDEX('Structure Groups'!$C$12:$C$14,MATCH('Load Criteria'!$B$5,'Structure Groups'!$B$12:$B$14,0),1)&amp;"'","'All'")</f>
        <v>'GL Max 800m'</v>
      </c>
      <c r="AW428" s="552" t="s">
        <v>562</v>
      </c>
      <c r="AX428" s="552"/>
      <c r="AY428" s="552" t="str">
        <f t="shared" si="625"/>
        <v>No</v>
      </c>
      <c r="AZ428" s="554" t="str">
        <f t="shared" si="612"/>
        <v/>
      </c>
      <c r="BA428" s="554" t="str">
        <f t="shared" si="613"/>
        <v/>
      </c>
      <c r="BB428" s="552" t="str">
        <f t="shared" si="622"/>
        <v/>
      </c>
      <c r="BC428" s="554"/>
      <c r="BD428" s="554"/>
      <c r="BE428" s="552"/>
      <c r="BF428" s="554" t="str">
        <f t="shared" si="555"/>
        <v/>
      </c>
      <c r="BG428" s="554" t="str">
        <f t="shared" si="626"/>
        <v/>
      </c>
      <c r="BH428" s="552" t="str">
        <f t="shared" si="627"/>
        <v/>
      </c>
      <c r="BI428" s="554" t="str">
        <f t="shared" si="558"/>
        <v/>
      </c>
      <c r="BJ428" s="554" t="str">
        <f t="shared" si="628"/>
        <v/>
      </c>
      <c r="BK428" s="552" t="str">
        <f t="shared" si="629"/>
        <v/>
      </c>
      <c r="BL428" s="554" t="str">
        <f t="shared" si="561"/>
        <v/>
      </c>
      <c r="BM428" s="554" t="str">
        <f t="shared" si="630"/>
        <v/>
      </c>
      <c r="BN428" s="552" t="str">
        <f t="shared" si="631"/>
        <v/>
      </c>
      <c r="BO428" s="554" t="str">
        <f t="shared" si="564"/>
        <v/>
      </c>
      <c r="BP428" s="554" t="str">
        <f t="shared" si="632"/>
        <v/>
      </c>
      <c r="BQ428" s="552" t="str">
        <f t="shared" si="633"/>
        <v/>
      </c>
      <c r="BR428" s="554"/>
      <c r="BS428" s="554"/>
      <c r="BT428" s="554"/>
      <c r="BU428" s="554"/>
      <c r="BV428" s="554"/>
      <c r="BW428" s="554"/>
      <c r="BX428" s="554"/>
      <c r="BY428" s="554"/>
      <c r="BZ428" s="554"/>
      <c r="CA428" s="554"/>
      <c r="CB428" s="554"/>
      <c r="CC428" s="554"/>
      <c r="CD428" s="554"/>
      <c r="CE428" s="554"/>
      <c r="CF428" s="554"/>
      <c r="CG428" s="554"/>
      <c r="CH428" s="554"/>
      <c r="CI428" s="554"/>
      <c r="CJ428" s="554"/>
      <c r="CK428" s="554"/>
      <c r="CL428" s="554"/>
      <c r="CM428" s="554"/>
      <c r="CN428" s="554"/>
      <c r="CO428" s="554"/>
      <c r="CP428" s="554"/>
      <c r="CQ428" s="554"/>
      <c r="CR428" s="554"/>
      <c r="CS428" s="554"/>
      <c r="CT428" s="554"/>
      <c r="CU428" s="554"/>
      <c r="CV428" s="554"/>
      <c r="CW428" s="554"/>
      <c r="CX428" s="554"/>
      <c r="CY428" s="554"/>
      <c r="CZ428" s="554"/>
      <c r="DA428" s="554"/>
      <c r="DB428" s="554"/>
      <c r="DC428" s="554"/>
      <c r="DD428" s="554"/>
      <c r="DE428" s="534"/>
      <c r="DF428" s="534"/>
      <c r="DG428" s="534"/>
    </row>
    <row r="429" spans="1:111" ht="15" x14ac:dyDescent="0.25">
      <c r="A429" s="549">
        <f>IFERROR(IF(INDEX('Weather Cases'!$E$10:$E$94,MATCH('Load Criteria'!X429,'Weather Cases'!$H$10:$H$94,0),1)=1,1,"-"),"-")</f>
        <v>1</v>
      </c>
      <c r="B429" s="555" t="s">
        <v>558</v>
      </c>
      <c r="C429" s="556" t="str">
        <f>IF('Weather Cases'!$E$40=0,"","DC/SC")</f>
        <v>DC/SC</v>
      </c>
      <c r="D429" s="556" t="s">
        <v>585</v>
      </c>
      <c r="E429" s="556" t="s">
        <v>22</v>
      </c>
      <c r="F429" s="556" t="s">
        <v>22</v>
      </c>
      <c r="G429" s="556" t="str">
        <f>IFERROR(IF(MID('Load Criteria'!X429,FIND("_",'Load Criteria'!X429,1)+1,1)=LEFT(Control!$D$23,1),"YES","-"),"-")</f>
        <v>-</v>
      </c>
      <c r="H429" s="549" t="str">
        <f>IF(INDEX('Weather Cases'!$G$10:$G$94,MATCH('Load Criteria'!X429,'Weather Cases'!$H$10:$H$94,0),1)="H","YES","-")</f>
        <v>YES</v>
      </c>
      <c r="I429" s="557" t="s">
        <v>585</v>
      </c>
      <c r="J429" s="508" t="s">
        <v>586</v>
      </c>
      <c r="K429" s="508" t="s">
        <v>60</v>
      </c>
      <c r="L429" s="508" t="s">
        <v>24</v>
      </c>
      <c r="M429" s="508"/>
      <c r="N429" s="508"/>
      <c r="O429" s="508"/>
      <c r="P429" s="395"/>
      <c r="Q429" s="395"/>
      <c r="R429" s="395"/>
      <c r="S429" s="395"/>
      <c r="T429" s="395"/>
      <c r="U429" s="255" t="s">
        <v>568</v>
      </c>
      <c r="V429" s="551" t="s">
        <v>300</v>
      </c>
      <c r="W429" s="588" t="str">
        <f t="shared" ref="W429" si="647">X429&amp;"+"&amp;K429&amp;IF(L429="","",CONCATENATE(L429,M429,N429,O429))&amp;" "&amp;U429</f>
        <v>CM2S_8+DA NA+</v>
      </c>
      <c r="X429" s="552" t="str">
        <f>I429&amp;TEXT(J429,"0000")&amp;"_"&amp;LEFT(Control!$D$22,LEN(Control!$D$22)-2)</f>
        <v>CM2S_8</v>
      </c>
      <c r="Y429" s="552" t="s">
        <v>433</v>
      </c>
      <c r="Z429" s="552" t="str">
        <f t="shared" ref="Z429" si="648">U429</f>
        <v>NA+</v>
      </c>
      <c r="AA429" s="552"/>
      <c r="AB429" s="552">
        <v>1</v>
      </c>
      <c r="AC429" s="552">
        <v>1</v>
      </c>
      <c r="AD429" s="552">
        <v>1</v>
      </c>
      <c r="AE429" s="552">
        <v>1</v>
      </c>
      <c r="AF429" s="552">
        <v>1</v>
      </c>
      <c r="AG429" s="542" t="s">
        <v>561</v>
      </c>
      <c r="AH429" s="552">
        <v>0</v>
      </c>
      <c r="AI429" s="552">
        <v>0</v>
      </c>
      <c r="AJ429" s="552">
        <v>1</v>
      </c>
      <c r="AK429" s="552">
        <v>1</v>
      </c>
      <c r="AL429" s="552">
        <v>1</v>
      </c>
      <c r="AM429" s="552">
        <v>0</v>
      </c>
      <c r="AN429" s="552">
        <v>0</v>
      </c>
      <c r="AO429" s="552">
        <v>1</v>
      </c>
      <c r="AP429" s="552">
        <v>1</v>
      </c>
      <c r="AQ429" s="552">
        <v>1</v>
      </c>
      <c r="AR429" s="552">
        <v>1</v>
      </c>
      <c r="AS429" s="552">
        <v>1</v>
      </c>
      <c r="AT429" s="552">
        <v>1</v>
      </c>
      <c r="AU429" s="552">
        <v>1</v>
      </c>
      <c r="AV429" s="553" t="str">
        <f>IF(H429="YES","'"&amp;INDEX('Structure Groups'!$C$12:$C$14,MATCH('Load Criteria'!$B$5,'Structure Groups'!$B$12:$B$14,0),1)&amp;"'","'All'")</f>
        <v>'GL Max 800m'</v>
      </c>
      <c r="AW429" s="552" t="s">
        <v>562</v>
      </c>
      <c r="AX429" s="552"/>
      <c r="AY429" s="552" t="str">
        <f t="shared" ref="AY429" si="649">IF(L429="","No","Yes")</f>
        <v>Yes</v>
      </c>
      <c r="AZ429" s="554" t="str">
        <f>IF($AY429="No","",IF($L429="A","Ahead Spans","Back Spans"))</f>
        <v>Ahead Spans</v>
      </c>
      <c r="BA429" s="554" t="str">
        <f>IF(AZ429="","","% Wire Ice")</f>
        <v>% Wire Ice</v>
      </c>
      <c r="BB429" s="552">
        <f>IF(AZ429="","",40)</f>
        <v>40</v>
      </c>
      <c r="BC429" s="554" t="str">
        <f>IF($AY429="No","",IF($L429="A","Back Spans","Ahead Spans"))</f>
        <v>Back Spans</v>
      </c>
      <c r="BD429" s="554" t="str">
        <f t="shared" ref="BD429" si="650">IF(BC429="","","% Wire Ice")</f>
        <v>% Wire Ice</v>
      </c>
      <c r="BE429" s="552">
        <f>IF(BB429="","",70)</f>
        <v>70</v>
      </c>
      <c r="BF429" s="554" t="str">
        <f t="shared" si="555"/>
        <v/>
      </c>
      <c r="BG429" s="554" t="str">
        <f t="shared" ref="BG429" si="651">IF(BF429="","","% Wire Ice")</f>
        <v/>
      </c>
      <c r="BH429" s="552" t="str">
        <f t="shared" ref="BH429" si="652">IF(BF429="","",40)</f>
        <v/>
      </c>
      <c r="BI429" s="554" t="str">
        <f t="shared" si="558"/>
        <v/>
      </c>
      <c r="BJ429" s="554" t="str">
        <f t="shared" ref="BJ429" si="653">IF(BI429="","","% Wire Ice")</f>
        <v/>
      </c>
      <c r="BK429" s="552" t="str">
        <f t="shared" ref="BK429" si="654">IF(BH429="","",70)</f>
        <v/>
      </c>
      <c r="BL429" s="554" t="str">
        <f t="shared" si="561"/>
        <v/>
      </c>
      <c r="BM429" s="554" t="str">
        <f t="shared" ref="BM429" si="655">IF(BL429="","","% Wire Ice")</f>
        <v/>
      </c>
      <c r="BN429" s="552" t="str">
        <f t="shared" ref="BN429" si="656">IF(BL429="","",40)</f>
        <v/>
      </c>
      <c r="BO429" s="554" t="str">
        <f t="shared" si="564"/>
        <v/>
      </c>
      <c r="BP429" s="554" t="str">
        <f t="shared" ref="BP429" si="657">IF(BO429="","","% Wire Ice")</f>
        <v/>
      </c>
      <c r="BQ429" s="552" t="str">
        <f t="shared" ref="BQ429" si="658">IF(BN429="","",70)</f>
        <v/>
      </c>
      <c r="BR429" s="554"/>
      <c r="BS429" s="554"/>
      <c r="BT429" s="554"/>
      <c r="BU429" s="554"/>
      <c r="BV429" s="554"/>
      <c r="BW429" s="554"/>
      <c r="BX429" s="554"/>
      <c r="BY429" s="554"/>
      <c r="BZ429" s="554"/>
      <c r="CA429" s="554"/>
      <c r="CB429" s="554"/>
      <c r="CC429" s="554"/>
      <c r="CD429" s="554"/>
      <c r="CE429" s="554"/>
      <c r="CF429" s="554"/>
      <c r="CG429" s="554"/>
      <c r="CH429" s="554"/>
      <c r="CI429" s="554"/>
      <c r="CJ429" s="554"/>
      <c r="CK429" s="554"/>
      <c r="CL429" s="554"/>
      <c r="CM429" s="554"/>
      <c r="CN429" s="554"/>
      <c r="CO429" s="554"/>
      <c r="CP429" s="554"/>
      <c r="CQ429" s="554"/>
      <c r="CR429" s="554"/>
      <c r="CS429" s="554"/>
      <c r="CT429" s="554"/>
      <c r="CU429" s="554"/>
      <c r="CV429" s="554"/>
      <c r="CW429" s="554"/>
      <c r="CX429" s="554"/>
      <c r="CY429" s="554"/>
      <c r="CZ429" s="554"/>
      <c r="DA429" s="554"/>
      <c r="DB429" s="554"/>
      <c r="DC429" s="554"/>
      <c r="DD429" s="554"/>
      <c r="DE429" s="534"/>
      <c r="DF429" s="534"/>
      <c r="DG429" s="534"/>
    </row>
    <row r="430" spans="1:111" ht="15" x14ac:dyDescent="0.25">
      <c r="A430" s="549">
        <f>IFERROR(IF(INDEX('Weather Cases'!$E$10:$E$94,MATCH('Load Criteria'!X430,'Weather Cases'!$H$10:$H$94,0),1)=1,1,"-"),"-")</f>
        <v>1</v>
      </c>
      <c r="B430" s="555" t="s">
        <v>558</v>
      </c>
      <c r="C430" s="556" t="str">
        <f>IF('Weather Cases'!$E$40=0,"","DC/SC")</f>
        <v>DC/SC</v>
      </c>
      <c r="D430" s="556" t="s">
        <v>585</v>
      </c>
      <c r="E430" s="556" t="s">
        <v>22</v>
      </c>
      <c r="F430" s="556" t="s">
        <v>22</v>
      </c>
      <c r="G430" s="556" t="str">
        <f>IFERROR(IF(MID('Load Criteria'!X430,FIND("_",'Load Criteria'!X430,1)+1,1)=LEFT(Control!$D$23,1),"YES","-"),"-")</f>
        <v>-</v>
      </c>
      <c r="H430" s="549" t="str">
        <f>IF(INDEX('Weather Cases'!$G$10:$G$94,MATCH('Load Criteria'!X430,'Weather Cases'!$H$10:$H$94,0),1)="H","YES","-")</f>
        <v>YES</v>
      </c>
      <c r="I430" s="557" t="s">
        <v>585</v>
      </c>
      <c r="J430" s="508" t="s">
        <v>586</v>
      </c>
      <c r="K430" s="508" t="s">
        <v>60</v>
      </c>
      <c r="L430" s="508" t="s">
        <v>24</v>
      </c>
      <c r="M430" s="508"/>
      <c r="N430" s="508"/>
      <c r="O430" s="508"/>
      <c r="P430" s="395"/>
      <c r="Q430" s="395"/>
      <c r="R430" s="395"/>
      <c r="S430" s="395"/>
      <c r="T430" s="395"/>
      <c r="U430" s="255" t="s">
        <v>574</v>
      </c>
      <c r="V430" s="551" t="s">
        <v>300</v>
      </c>
      <c r="W430" s="542" t="str">
        <f t="shared" ref="W430:W432" si="659">X430&amp;"+"&amp;K430&amp;IF(L430="","",CONCATENATE(L430,M430,N430,O430))&amp;" "&amp;U430</f>
        <v>CM2S_8+DA NA-</v>
      </c>
      <c r="X430" s="552" t="str">
        <f>I430&amp;TEXT(J430,"0000")&amp;"_"&amp;LEFT(Control!$D$22,LEN(Control!$D$22)-2)</f>
        <v>CM2S_8</v>
      </c>
      <c r="Y430" s="552" t="s">
        <v>433</v>
      </c>
      <c r="Z430" s="552" t="str">
        <f t="shared" si="624"/>
        <v>NA-</v>
      </c>
      <c r="AA430" s="552"/>
      <c r="AB430" s="552">
        <v>1</v>
      </c>
      <c r="AC430" s="552">
        <v>1</v>
      </c>
      <c r="AD430" s="552">
        <v>1</v>
      </c>
      <c r="AE430" s="552">
        <v>1</v>
      </c>
      <c r="AF430" s="552">
        <v>1</v>
      </c>
      <c r="AG430" s="542" t="s">
        <v>561</v>
      </c>
      <c r="AH430" s="552">
        <v>0</v>
      </c>
      <c r="AI430" s="552">
        <v>0</v>
      </c>
      <c r="AJ430" s="552">
        <v>1</v>
      </c>
      <c r="AK430" s="552">
        <v>1</v>
      </c>
      <c r="AL430" s="552">
        <v>1</v>
      </c>
      <c r="AM430" s="552">
        <v>0</v>
      </c>
      <c r="AN430" s="552">
        <v>0</v>
      </c>
      <c r="AO430" s="552">
        <v>1</v>
      </c>
      <c r="AP430" s="552">
        <v>1</v>
      </c>
      <c r="AQ430" s="552">
        <v>1</v>
      </c>
      <c r="AR430" s="552">
        <v>1</v>
      </c>
      <c r="AS430" s="552">
        <v>1</v>
      </c>
      <c r="AT430" s="552">
        <v>1</v>
      </c>
      <c r="AU430" s="552">
        <v>1</v>
      </c>
      <c r="AV430" s="553" t="str">
        <f>IF(H430="YES","'"&amp;INDEX('Structure Groups'!$C$12:$C$14,MATCH('Load Criteria'!$B$5,'Structure Groups'!$B$12:$B$14,0),1)&amp;"'","'All'")</f>
        <v>'GL Max 800m'</v>
      </c>
      <c r="AW430" s="552" t="s">
        <v>562</v>
      </c>
      <c r="AX430" s="552"/>
      <c r="AY430" s="552" t="str">
        <f t="shared" si="625"/>
        <v>Yes</v>
      </c>
      <c r="AZ430" s="554" t="str">
        <f>IF($AY430="No","",IF($L430="A","Ahead Spans","Back Spans"))</f>
        <v>Ahead Spans</v>
      </c>
      <c r="BA430" s="554" t="str">
        <f>IF(AZ430="","","% Wire Ice")</f>
        <v>% Wire Ice</v>
      </c>
      <c r="BB430" s="552">
        <f>IF(AZ430="","",40)</f>
        <v>40</v>
      </c>
      <c r="BC430" s="554" t="str">
        <f>IF($AY430="No","",IF($L430="A","Back Spans","Ahead Spans"))</f>
        <v>Back Spans</v>
      </c>
      <c r="BD430" s="554" t="str">
        <f t="shared" ref="BD430:BD432" si="660">IF(BC430="","","% Wire Ice")</f>
        <v>% Wire Ice</v>
      </c>
      <c r="BE430" s="552">
        <f>IF(BB430="","",70)</f>
        <v>70</v>
      </c>
      <c r="BF430" s="554" t="str">
        <f t="shared" si="555"/>
        <v/>
      </c>
      <c r="BG430" s="554" t="str">
        <f t="shared" si="626"/>
        <v/>
      </c>
      <c r="BH430" s="552" t="str">
        <f t="shared" si="627"/>
        <v/>
      </c>
      <c r="BI430" s="554" t="str">
        <f t="shared" si="558"/>
        <v/>
      </c>
      <c r="BJ430" s="554" t="str">
        <f t="shared" si="628"/>
        <v/>
      </c>
      <c r="BK430" s="552" t="str">
        <f t="shared" si="629"/>
        <v/>
      </c>
      <c r="BL430" s="554" t="str">
        <f t="shared" si="561"/>
        <v/>
      </c>
      <c r="BM430" s="554" t="str">
        <f t="shared" si="630"/>
        <v/>
      </c>
      <c r="BN430" s="552" t="str">
        <f t="shared" si="631"/>
        <v/>
      </c>
      <c r="BO430" s="554" t="str">
        <f t="shared" si="564"/>
        <v/>
      </c>
      <c r="BP430" s="554" t="str">
        <f t="shared" si="632"/>
        <v/>
      </c>
      <c r="BQ430" s="552" t="str">
        <f t="shared" si="633"/>
        <v/>
      </c>
      <c r="BR430" s="554"/>
      <c r="BS430" s="554"/>
      <c r="BT430" s="554"/>
      <c r="BU430" s="554"/>
      <c r="BV430" s="554"/>
      <c r="BW430" s="554"/>
      <c r="BX430" s="554"/>
      <c r="BY430" s="554"/>
      <c r="BZ430" s="554"/>
      <c r="CA430" s="554"/>
      <c r="CB430" s="554"/>
      <c r="CC430" s="554"/>
      <c r="CD430" s="554"/>
      <c r="CE430" s="554"/>
      <c r="CF430" s="554"/>
      <c r="CG430" s="554"/>
      <c r="CH430" s="554"/>
      <c r="CI430" s="554"/>
      <c r="CJ430" s="554"/>
      <c r="CK430" s="554"/>
      <c r="CL430" s="554"/>
      <c r="CM430" s="554"/>
      <c r="CN430" s="554"/>
      <c r="CO430" s="554"/>
      <c r="CP430" s="554"/>
      <c r="CQ430" s="554"/>
      <c r="CR430" s="554"/>
      <c r="CS430" s="554"/>
      <c r="CT430" s="554"/>
      <c r="CU430" s="554"/>
      <c r="CV430" s="554"/>
      <c r="CW430" s="554"/>
      <c r="CX430" s="554"/>
      <c r="CY430" s="554"/>
      <c r="CZ430" s="554"/>
      <c r="DA430" s="554"/>
      <c r="DB430" s="554"/>
      <c r="DC430" s="554"/>
      <c r="DD430" s="554"/>
      <c r="DE430" s="534"/>
      <c r="DF430" s="534"/>
      <c r="DG430" s="534"/>
    </row>
    <row r="431" spans="1:111" ht="15" x14ac:dyDescent="0.25">
      <c r="A431" s="549">
        <f>IFERROR(IF(INDEX('Weather Cases'!$E$10:$E$94,MATCH('Load Criteria'!X431,'Weather Cases'!$H$10:$H$94,0),1)=1,1,"-"),"-")</f>
        <v>1</v>
      </c>
      <c r="B431" s="555" t="s">
        <v>558</v>
      </c>
      <c r="C431" s="556" t="str">
        <f>IF('Weather Cases'!$E$40=0,"","DC/SC")</f>
        <v>DC/SC</v>
      </c>
      <c r="D431" s="556" t="s">
        <v>585</v>
      </c>
      <c r="E431" s="556" t="s">
        <v>22</v>
      </c>
      <c r="F431" s="556" t="s">
        <v>22</v>
      </c>
      <c r="G431" s="556" t="str">
        <f>IFERROR(IF(MID('Load Criteria'!X431,FIND("_",'Load Criteria'!X431,1)+1,1)=LEFT(Control!$D$23,1),"YES","-"),"-")</f>
        <v>-</v>
      </c>
      <c r="H431" s="549" t="str">
        <f>IF(INDEX('Weather Cases'!$G$10:$G$94,MATCH('Load Criteria'!X431,'Weather Cases'!$H$10:$H$94,0),1)="H","YES","-")</f>
        <v>YES</v>
      </c>
      <c r="I431" s="557" t="s">
        <v>585</v>
      </c>
      <c r="J431" s="508" t="s">
        <v>586</v>
      </c>
      <c r="K431" s="508" t="s">
        <v>60</v>
      </c>
      <c r="L431" s="508" t="s">
        <v>40</v>
      </c>
      <c r="M431" s="508"/>
      <c r="N431" s="508"/>
      <c r="O431" s="508"/>
      <c r="P431" s="395"/>
      <c r="Q431" s="395"/>
      <c r="R431" s="395"/>
      <c r="S431" s="395"/>
      <c r="T431" s="395"/>
      <c r="U431" s="255" t="s">
        <v>568</v>
      </c>
      <c r="V431" s="551" t="s">
        <v>300</v>
      </c>
      <c r="W431" s="588" t="str">
        <f t="shared" ref="W431" si="661">X431&amp;"+"&amp;K431&amp;IF(L431="","",CONCATENATE(L431,M431,N431,O431))&amp;" "&amp;U431</f>
        <v>CM2S_8+DB NA+</v>
      </c>
      <c r="X431" s="552" t="str">
        <f>I431&amp;TEXT(J431,"0000")&amp;"_"&amp;LEFT(Control!$D$22,LEN(Control!$D$22)-2)</f>
        <v>CM2S_8</v>
      </c>
      <c r="Y431" s="552" t="s">
        <v>433</v>
      </c>
      <c r="Z431" s="552" t="str">
        <f t="shared" ref="Z431" si="662">U431</f>
        <v>NA+</v>
      </c>
      <c r="AA431" s="552"/>
      <c r="AB431" s="552">
        <v>1</v>
      </c>
      <c r="AC431" s="552">
        <v>1</v>
      </c>
      <c r="AD431" s="552">
        <v>1</v>
      </c>
      <c r="AE431" s="552">
        <v>1</v>
      </c>
      <c r="AF431" s="552">
        <v>1</v>
      </c>
      <c r="AG431" s="542" t="s">
        <v>561</v>
      </c>
      <c r="AH431" s="552">
        <v>0</v>
      </c>
      <c r="AI431" s="552">
        <v>0</v>
      </c>
      <c r="AJ431" s="552">
        <v>1</v>
      </c>
      <c r="AK431" s="552">
        <v>1</v>
      </c>
      <c r="AL431" s="552">
        <v>1</v>
      </c>
      <c r="AM431" s="552">
        <v>0</v>
      </c>
      <c r="AN431" s="552">
        <v>0</v>
      </c>
      <c r="AO431" s="552">
        <v>1</v>
      </c>
      <c r="AP431" s="552">
        <v>1</v>
      </c>
      <c r="AQ431" s="552">
        <v>1</v>
      </c>
      <c r="AR431" s="552">
        <v>1</v>
      </c>
      <c r="AS431" s="552">
        <v>1</v>
      </c>
      <c r="AT431" s="552">
        <v>1</v>
      </c>
      <c r="AU431" s="552">
        <v>1</v>
      </c>
      <c r="AV431" s="553" t="str">
        <f>IF(H431="YES","'"&amp;INDEX('Structure Groups'!$C$12:$C$14,MATCH('Load Criteria'!$B$5,'Structure Groups'!$B$12:$B$14,0),1)&amp;"'","'All'")</f>
        <v>'GL Max 800m'</v>
      </c>
      <c r="AW431" s="552" t="s">
        <v>562</v>
      </c>
      <c r="AX431" s="552"/>
      <c r="AY431" s="552" t="str">
        <f t="shared" ref="AY431" si="663">IF(L431="","No","Yes")</f>
        <v>Yes</v>
      </c>
      <c r="AZ431" s="554" t="str">
        <f>IF($AY431="No","",IF($L431="A","Ahead Spans","Back Spans"))</f>
        <v>Back Spans</v>
      </c>
      <c r="BA431" s="554" t="str">
        <f>IF(AZ431="","","% Wire Ice")</f>
        <v>% Wire Ice</v>
      </c>
      <c r="BB431" s="552">
        <f>IF(AZ431="","",40)</f>
        <v>40</v>
      </c>
      <c r="BC431" s="554" t="str">
        <f>IF($AY431="No","",IF($L431="A","Back Spans","Ahead Spans"))</f>
        <v>Ahead Spans</v>
      </c>
      <c r="BD431" s="554" t="str">
        <f t="shared" ref="BD431" si="664">IF(BC431="","","% Wire Ice")</f>
        <v>% Wire Ice</v>
      </c>
      <c r="BE431" s="552">
        <f>IF(BB431="","",70)</f>
        <v>70</v>
      </c>
      <c r="BF431" s="554" t="str">
        <f t="shared" si="555"/>
        <v/>
      </c>
      <c r="BG431" s="554" t="str">
        <f t="shared" ref="BG431" si="665">IF(BF431="","","% Wire Ice")</f>
        <v/>
      </c>
      <c r="BH431" s="552" t="str">
        <f t="shared" ref="BH431" si="666">IF(BF431="","",40)</f>
        <v/>
      </c>
      <c r="BI431" s="554" t="str">
        <f t="shared" si="558"/>
        <v/>
      </c>
      <c r="BJ431" s="554" t="str">
        <f t="shared" ref="BJ431" si="667">IF(BI431="","","% Wire Ice")</f>
        <v/>
      </c>
      <c r="BK431" s="552" t="str">
        <f t="shared" ref="BK431" si="668">IF(BH431="","",70)</f>
        <v/>
      </c>
      <c r="BL431" s="554" t="str">
        <f t="shared" si="561"/>
        <v/>
      </c>
      <c r="BM431" s="554" t="str">
        <f t="shared" ref="BM431" si="669">IF(BL431="","","% Wire Ice")</f>
        <v/>
      </c>
      <c r="BN431" s="552" t="str">
        <f t="shared" ref="BN431" si="670">IF(BL431="","",40)</f>
        <v/>
      </c>
      <c r="BO431" s="554" t="str">
        <f t="shared" si="564"/>
        <v/>
      </c>
      <c r="BP431" s="554" t="str">
        <f t="shared" ref="BP431" si="671">IF(BO431="","","% Wire Ice")</f>
        <v/>
      </c>
      <c r="BQ431" s="552" t="str">
        <f t="shared" ref="BQ431" si="672">IF(BN431="","",70)</f>
        <v/>
      </c>
      <c r="BR431" s="554"/>
      <c r="BS431" s="554"/>
      <c r="BT431" s="554"/>
      <c r="BU431" s="554"/>
      <c r="BV431" s="554"/>
      <c r="BW431" s="554"/>
      <c r="BX431" s="554"/>
      <c r="BY431" s="554"/>
      <c r="BZ431" s="554"/>
      <c r="CA431" s="554"/>
      <c r="CB431" s="554"/>
      <c r="CC431" s="554"/>
      <c r="CD431" s="554"/>
      <c r="CE431" s="554"/>
      <c r="CF431" s="554"/>
      <c r="CG431" s="554"/>
      <c r="CH431" s="554"/>
      <c r="CI431" s="554"/>
      <c r="CJ431" s="554"/>
      <c r="CK431" s="554"/>
      <c r="CL431" s="554"/>
      <c r="CM431" s="554"/>
      <c r="CN431" s="554"/>
      <c r="CO431" s="554"/>
      <c r="CP431" s="554"/>
      <c r="CQ431" s="554"/>
      <c r="CR431" s="554"/>
      <c r="CS431" s="554"/>
      <c r="CT431" s="554"/>
      <c r="CU431" s="554"/>
      <c r="CV431" s="554"/>
      <c r="CW431" s="554"/>
      <c r="CX431" s="554"/>
      <c r="CY431" s="554"/>
      <c r="CZ431" s="554"/>
      <c r="DA431" s="554"/>
      <c r="DB431" s="554"/>
      <c r="DC431" s="554"/>
      <c r="DD431" s="554"/>
      <c r="DE431" s="534"/>
      <c r="DF431" s="534"/>
      <c r="DG431" s="534"/>
    </row>
    <row r="432" spans="1:111" ht="15" x14ac:dyDescent="0.25">
      <c r="A432" s="549">
        <f>IFERROR(IF(INDEX('Weather Cases'!$E$10:$E$94,MATCH('Load Criteria'!X432,'Weather Cases'!$H$10:$H$94,0),1)=1,1,"-"),"-")</f>
        <v>1</v>
      </c>
      <c r="B432" s="555" t="s">
        <v>558</v>
      </c>
      <c r="C432" s="556" t="str">
        <f>IF('Weather Cases'!$E$40=0,"","DC/SC")</f>
        <v>DC/SC</v>
      </c>
      <c r="D432" s="556" t="s">
        <v>585</v>
      </c>
      <c r="E432" s="556" t="s">
        <v>22</v>
      </c>
      <c r="F432" s="556" t="s">
        <v>22</v>
      </c>
      <c r="G432" s="556" t="str">
        <f>IFERROR(IF(MID('Load Criteria'!X432,FIND("_",'Load Criteria'!X432,1)+1,1)=LEFT(Control!$D$23,1),"YES","-"),"-")</f>
        <v>-</v>
      </c>
      <c r="H432" s="549" t="str">
        <f>IF(INDEX('Weather Cases'!$G$10:$G$94,MATCH('Load Criteria'!X432,'Weather Cases'!$H$10:$H$94,0),1)="H","YES","-")</f>
        <v>YES</v>
      </c>
      <c r="I432" s="557" t="s">
        <v>585</v>
      </c>
      <c r="J432" s="508" t="s">
        <v>586</v>
      </c>
      <c r="K432" s="508" t="s">
        <v>60</v>
      </c>
      <c r="L432" s="508" t="s">
        <v>40</v>
      </c>
      <c r="M432" s="508"/>
      <c r="N432" s="508"/>
      <c r="O432" s="508"/>
      <c r="P432" s="395"/>
      <c r="Q432" s="395"/>
      <c r="R432" s="395"/>
      <c r="S432" s="395"/>
      <c r="T432" s="395"/>
      <c r="U432" s="255" t="s">
        <v>574</v>
      </c>
      <c r="V432" s="551" t="s">
        <v>300</v>
      </c>
      <c r="W432" s="542" t="str">
        <f t="shared" si="659"/>
        <v>CM2S_8+DB NA-</v>
      </c>
      <c r="X432" s="552" t="str">
        <f>I432&amp;TEXT(J432,"0000")&amp;"_"&amp;LEFT(Control!$D$22,LEN(Control!$D$22)-2)</f>
        <v>CM2S_8</v>
      </c>
      <c r="Y432" s="552" t="s">
        <v>433</v>
      </c>
      <c r="Z432" s="552" t="str">
        <f t="shared" si="624"/>
        <v>NA-</v>
      </c>
      <c r="AA432" s="552"/>
      <c r="AB432" s="552">
        <v>1</v>
      </c>
      <c r="AC432" s="552">
        <v>1</v>
      </c>
      <c r="AD432" s="552">
        <v>1</v>
      </c>
      <c r="AE432" s="552">
        <v>1</v>
      </c>
      <c r="AF432" s="552">
        <v>1</v>
      </c>
      <c r="AG432" s="542" t="s">
        <v>561</v>
      </c>
      <c r="AH432" s="552">
        <v>0</v>
      </c>
      <c r="AI432" s="552">
        <v>0</v>
      </c>
      <c r="AJ432" s="552">
        <v>1</v>
      </c>
      <c r="AK432" s="552">
        <v>1</v>
      </c>
      <c r="AL432" s="552">
        <v>1</v>
      </c>
      <c r="AM432" s="552">
        <v>0</v>
      </c>
      <c r="AN432" s="552">
        <v>0</v>
      </c>
      <c r="AO432" s="552">
        <v>1</v>
      </c>
      <c r="AP432" s="552">
        <v>1</v>
      </c>
      <c r="AQ432" s="552">
        <v>1</v>
      </c>
      <c r="AR432" s="552">
        <v>1</v>
      </c>
      <c r="AS432" s="552">
        <v>1</v>
      </c>
      <c r="AT432" s="552">
        <v>1</v>
      </c>
      <c r="AU432" s="552">
        <v>1</v>
      </c>
      <c r="AV432" s="553" t="str">
        <f>IF(H432="YES","'"&amp;INDEX('Structure Groups'!$C$12:$C$14,MATCH('Load Criteria'!$B$5,'Structure Groups'!$B$12:$B$14,0),1)&amp;"'","'All'")</f>
        <v>'GL Max 800m'</v>
      </c>
      <c r="AW432" s="552" t="s">
        <v>562</v>
      </c>
      <c r="AX432" s="552"/>
      <c r="AY432" s="552" t="str">
        <f t="shared" si="625"/>
        <v>Yes</v>
      </c>
      <c r="AZ432" s="554" t="str">
        <f>IF($AY432="No","",IF($L432="A","Ahead Spans","Back Spans"))</f>
        <v>Back Spans</v>
      </c>
      <c r="BA432" s="554" t="str">
        <f>IF(AZ432="","","% Wire Ice")</f>
        <v>% Wire Ice</v>
      </c>
      <c r="BB432" s="552">
        <f>IF(AZ432="","",40)</f>
        <v>40</v>
      </c>
      <c r="BC432" s="554" t="str">
        <f>IF($AY432="No","",IF($L432="A","Back Spans","Ahead Spans"))</f>
        <v>Ahead Spans</v>
      </c>
      <c r="BD432" s="554" t="str">
        <f t="shared" si="660"/>
        <v>% Wire Ice</v>
      </c>
      <c r="BE432" s="552">
        <f>IF(BB432="","",70)</f>
        <v>70</v>
      </c>
      <c r="BF432" s="554" t="str">
        <f t="shared" si="555"/>
        <v/>
      </c>
      <c r="BG432" s="554" t="str">
        <f t="shared" si="626"/>
        <v/>
      </c>
      <c r="BH432" s="552" t="str">
        <f t="shared" si="627"/>
        <v/>
      </c>
      <c r="BI432" s="554" t="str">
        <f t="shared" si="558"/>
        <v/>
      </c>
      <c r="BJ432" s="554" t="str">
        <f t="shared" si="628"/>
        <v/>
      </c>
      <c r="BK432" s="552" t="str">
        <f t="shared" si="629"/>
        <v/>
      </c>
      <c r="BL432" s="554" t="str">
        <f t="shared" si="561"/>
        <v/>
      </c>
      <c r="BM432" s="554" t="str">
        <f t="shared" si="630"/>
        <v/>
      </c>
      <c r="BN432" s="552" t="str">
        <f t="shared" si="631"/>
        <v/>
      </c>
      <c r="BO432" s="554" t="str">
        <f t="shared" si="564"/>
        <v/>
      </c>
      <c r="BP432" s="554" t="str">
        <f t="shared" si="632"/>
        <v/>
      </c>
      <c r="BQ432" s="552" t="str">
        <f t="shared" si="633"/>
        <v/>
      </c>
      <c r="BR432" s="554"/>
      <c r="BS432" s="554"/>
      <c r="BT432" s="554"/>
      <c r="BU432" s="554"/>
      <c r="BV432" s="554"/>
      <c r="BW432" s="554"/>
      <c r="BX432" s="554"/>
      <c r="BY432" s="554"/>
      <c r="BZ432" s="554"/>
      <c r="CA432" s="554"/>
      <c r="CB432" s="554"/>
      <c r="CC432" s="554"/>
      <c r="CD432" s="554"/>
      <c r="CE432" s="554"/>
      <c r="CF432" s="554"/>
      <c r="CG432" s="554"/>
      <c r="CH432" s="554"/>
      <c r="CI432" s="554"/>
      <c r="CJ432" s="554"/>
      <c r="CK432" s="554"/>
      <c r="CL432" s="554"/>
      <c r="CM432" s="554"/>
      <c r="CN432" s="554"/>
      <c r="CO432" s="554"/>
      <c r="CP432" s="554"/>
      <c r="CQ432" s="554"/>
      <c r="CR432" s="554"/>
      <c r="CS432" s="554"/>
      <c r="CT432" s="554"/>
      <c r="CU432" s="554"/>
      <c r="CV432" s="554"/>
      <c r="CW432" s="554"/>
      <c r="CX432" s="554"/>
      <c r="CY432" s="554"/>
      <c r="CZ432" s="554"/>
      <c r="DA432" s="554"/>
      <c r="DB432" s="554"/>
      <c r="DC432" s="554"/>
      <c r="DD432" s="554"/>
      <c r="DE432" s="534"/>
      <c r="DF432" s="534"/>
      <c r="DG432" s="534"/>
    </row>
    <row r="433" spans="1:111" ht="15" x14ac:dyDescent="0.25">
      <c r="A433" s="549">
        <f>IFERROR(IF(INDEX('Weather Cases'!$E$10:$E$94,MATCH('Load Criteria'!X433,'Weather Cases'!$H$10:$H$94,0),1)=1,1,"-"),"-")</f>
        <v>1</v>
      </c>
      <c r="B433" s="555" t="s">
        <v>558</v>
      </c>
      <c r="C433" s="556" t="str">
        <f>IF('Weather Cases'!$E$40=0,"","DC/SC")</f>
        <v>DC/SC</v>
      </c>
      <c r="D433" s="556" t="s">
        <v>585</v>
      </c>
      <c r="E433" s="556" t="s">
        <v>22</v>
      </c>
      <c r="F433" s="556" t="s">
        <v>22</v>
      </c>
      <c r="G433" s="556" t="str">
        <f>IFERROR(IF(MID('Load Criteria'!X433,FIND("_",'Load Criteria'!X433,1)+1,1)=LEFT(Control!$D$23,1),"YES","-"),"-")</f>
        <v>-</v>
      </c>
      <c r="H433" s="549" t="str">
        <f>IF(INDEX('Weather Cases'!$G$10:$G$94,MATCH('Load Criteria'!X433,'Weather Cases'!$H$10:$H$94,0),1)="H","YES","-")</f>
        <v>YES</v>
      </c>
      <c r="I433" s="557" t="s">
        <v>585</v>
      </c>
      <c r="J433" s="508" t="s">
        <v>587</v>
      </c>
      <c r="K433" s="508" t="s">
        <v>88</v>
      </c>
      <c r="L433" s="508"/>
      <c r="M433" s="508"/>
      <c r="N433" s="508"/>
      <c r="O433" s="508"/>
      <c r="P433" s="395"/>
      <c r="Q433" s="395"/>
      <c r="R433" s="395"/>
      <c r="S433" s="395"/>
      <c r="T433" s="395"/>
      <c r="U433" s="255" t="s">
        <v>568</v>
      </c>
      <c r="V433" s="551" t="s">
        <v>300</v>
      </c>
      <c r="W433" s="588" t="str">
        <f>X433&amp;"+"&amp;K433&amp;IF(L433="","",CONCATENATE(L433,M433,N433,O433))&amp;" "&amp;U433</f>
        <v>CM2I_8+E NA+</v>
      </c>
      <c r="X433" s="552" t="str">
        <f>I433&amp;TEXT(J433,"0000")&amp;"_"&amp;LEFT(Control!$D$22,LEN(Control!$D$22)-2)</f>
        <v>CM2I_8</v>
      </c>
      <c r="Y433" s="552" t="s">
        <v>433</v>
      </c>
      <c r="Z433" s="552" t="str">
        <f t="shared" ref="Z433" si="673">U433</f>
        <v>NA+</v>
      </c>
      <c r="AA433" s="552"/>
      <c r="AB433" s="552">
        <v>1</v>
      </c>
      <c r="AC433" s="552">
        <v>1</v>
      </c>
      <c r="AD433" s="552">
        <v>1</v>
      </c>
      <c r="AE433" s="552">
        <v>1</v>
      </c>
      <c r="AF433" s="552">
        <v>1</v>
      </c>
      <c r="AG433" s="542" t="s">
        <v>561</v>
      </c>
      <c r="AH433" s="552">
        <v>0</v>
      </c>
      <c r="AI433" s="552">
        <v>0</v>
      </c>
      <c r="AJ433" s="552">
        <v>1</v>
      </c>
      <c r="AK433" s="552">
        <v>1</v>
      </c>
      <c r="AL433" s="552">
        <v>1</v>
      </c>
      <c r="AM433" s="552">
        <v>0</v>
      </c>
      <c r="AN433" s="552">
        <v>0</v>
      </c>
      <c r="AO433" s="552">
        <v>1</v>
      </c>
      <c r="AP433" s="552">
        <v>1</v>
      </c>
      <c r="AQ433" s="552">
        <v>1</v>
      </c>
      <c r="AR433" s="552">
        <v>1</v>
      </c>
      <c r="AS433" s="552">
        <v>1</v>
      </c>
      <c r="AT433" s="552">
        <v>1</v>
      </c>
      <c r="AU433" s="552">
        <v>1</v>
      </c>
      <c r="AV433" s="553" t="str">
        <f>IF(H433="YES","'"&amp;INDEX('Structure Groups'!$C$12:$C$14,MATCH('Load Criteria'!$B$5,'Structure Groups'!$B$12:$B$14,0),1)&amp;"'","'All'")</f>
        <v>'GL Max 800m'</v>
      </c>
      <c r="AW433" s="552" t="s">
        <v>562</v>
      </c>
      <c r="AX433" s="552"/>
      <c r="AY433" s="552" t="str">
        <f t="shared" ref="AY433" si="674">IF(L433="","No","Yes")</f>
        <v>No</v>
      </c>
      <c r="AZ433" s="554" t="str">
        <f t="shared" ref="AZ433" si="675">IF(AY433="No","",IF(L433="A","Ahead Spans","Back Spans"))</f>
        <v/>
      </c>
      <c r="BA433" s="554" t="str">
        <f t="shared" ref="BA433" si="676">IF(AZ433="","","% Wire Wind Pressure")</f>
        <v/>
      </c>
      <c r="BB433" s="552" t="str">
        <f t="shared" ref="BB433" si="677">IF(AZ433="","",75)</f>
        <v/>
      </c>
      <c r="BC433" s="554"/>
      <c r="BD433" s="554"/>
      <c r="BE433" s="552"/>
      <c r="BF433" s="554"/>
      <c r="BG433" s="554"/>
      <c r="BH433" s="552"/>
      <c r="BI433" s="554"/>
      <c r="BJ433" s="554"/>
      <c r="BK433" s="552"/>
      <c r="BL433" s="554"/>
      <c r="BM433" s="554"/>
      <c r="BN433" s="552"/>
      <c r="BO433" s="554"/>
      <c r="BP433" s="554"/>
      <c r="BQ433" s="552"/>
      <c r="BR433" s="554"/>
      <c r="BS433" s="554"/>
      <c r="BT433" s="554"/>
      <c r="BU433" s="554"/>
      <c r="BV433" s="554"/>
      <c r="BW433" s="554"/>
      <c r="BX433" s="554"/>
      <c r="BY433" s="554"/>
      <c r="BZ433" s="554"/>
      <c r="CA433" s="554"/>
      <c r="CB433" s="554"/>
      <c r="CC433" s="554"/>
      <c r="CD433" s="554"/>
      <c r="CE433" s="554"/>
      <c r="CF433" s="554"/>
      <c r="CG433" s="554"/>
      <c r="CH433" s="554"/>
      <c r="CI433" s="554"/>
      <c r="CJ433" s="554"/>
      <c r="CK433" s="554"/>
      <c r="CL433" s="554"/>
      <c r="CM433" s="554"/>
      <c r="CN433" s="554"/>
      <c r="CO433" s="554"/>
      <c r="CP433" s="554"/>
      <c r="CQ433" s="554"/>
      <c r="CR433" s="554"/>
      <c r="CS433" s="554"/>
      <c r="CT433" s="554"/>
      <c r="CU433" s="554"/>
      <c r="CV433" s="554"/>
      <c r="CW433" s="554"/>
      <c r="CX433" s="554"/>
      <c r="CY433" s="554"/>
      <c r="CZ433" s="554"/>
      <c r="DA433" s="554"/>
      <c r="DB433" s="554"/>
      <c r="DC433" s="554"/>
      <c r="DD433" s="554"/>
      <c r="DE433" s="534"/>
      <c r="DF433" s="534"/>
      <c r="DG433" s="534"/>
    </row>
    <row r="434" spans="1:111" ht="15" x14ac:dyDescent="0.25">
      <c r="A434" s="549">
        <f>IFERROR(IF(INDEX('Weather Cases'!$E$10:$E$94,MATCH('Load Criteria'!X434,'Weather Cases'!$H$10:$H$94,0),1)=1,1,"-"),"-")</f>
        <v>1</v>
      </c>
      <c r="B434" s="555" t="s">
        <v>558</v>
      </c>
      <c r="C434" s="556" t="str">
        <f>IF('Weather Cases'!$E$40=0,"","DC/SC")</f>
        <v>DC/SC</v>
      </c>
      <c r="D434" s="556" t="s">
        <v>585</v>
      </c>
      <c r="E434" s="556" t="s">
        <v>22</v>
      </c>
      <c r="F434" s="556" t="s">
        <v>22</v>
      </c>
      <c r="G434" s="556" t="str">
        <f>IFERROR(IF(MID('Load Criteria'!X434,FIND("_",'Load Criteria'!X434,1)+1,1)=LEFT(Control!$D$23,1),"YES","-"),"-")</f>
        <v>-</v>
      </c>
      <c r="H434" s="549" t="str">
        <f>IF(INDEX('Weather Cases'!$G$10:$G$94,MATCH('Load Criteria'!X434,'Weather Cases'!$H$10:$H$94,0),1)="H","YES","-")</f>
        <v>YES</v>
      </c>
      <c r="I434" s="557" t="s">
        <v>585</v>
      </c>
      <c r="J434" s="508" t="s">
        <v>587</v>
      </c>
      <c r="K434" s="508" t="s">
        <v>88</v>
      </c>
      <c r="L434" s="508"/>
      <c r="M434" s="508"/>
      <c r="N434" s="508"/>
      <c r="O434" s="508"/>
      <c r="P434" s="395"/>
      <c r="Q434" s="395"/>
      <c r="R434" s="395"/>
      <c r="S434" s="395"/>
      <c r="T434" s="395"/>
      <c r="U434" s="255" t="s">
        <v>574</v>
      </c>
      <c r="V434" s="551" t="s">
        <v>300</v>
      </c>
      <c r="W434" s="542" t="str">
        <f>X434&amp;"+"&amp;K434&amp;IF(L434="","",CONCATENATE(L434,M434,N434,O434))&amp;" "&amp;U434</f>
        <v>CM2I_8+E NA-</v>
      </c>
      <c r="X434" s="552" t="str">
        <f>I434&amp;TEXT(J434,"0000")&amp;"_"&amp;LEFT(Control!$D$22,LEN(Control!$D$22)-2)</f>
        <v>CM2I_8</v>
      </c>
      <c r="Y434" s="552" t="s">
        <v>433</v>
      </c>
      <c r="Z434" s="552" t="str">
        <f t="shared" si="624"/>
        <v>NA-</v>
      </c>
      <c r="AA434" s="552"/>
      <c r="AB434" s="552">
        <v>1</v>
      </c>
      <c r="AC434" s="552">
        <v>1</v>
      </c>
      <c r="AD434" s="552">
        <v>1</v>
      </c>
      <c r="AE434" s="552">
        <v>1</v>
      </c>
      <c r="AF434" s="552">
        <v>1</v>
      </c>
      <c r="AG434" s="542" t="s">
        <v>561</v>
      </c>
      <c r="AH434" s="552">
        <v>0</v>
      </c>
      <c r="AI434" s="552">
        <v>0</v>
      </c>
      <c r="AJ434" s="552">
        <v>1</v>
      </c>
      <c r="AK434" s="552">
        <v>1</v>
      </c>
      <c r="AL434" s="552">
        <v>1</v>
      </c>
      <c r="AM434" s="552">
        <v>0</v>
      </c>
      <c r="AN434" s="552">
        <v>0</v>
      </c>
      <c r="AO434" s="552">
        <v>1</v>
      </c>
      <c r="AP434" s="552">
        <v>1</v>
      </c>
      <c r="AQ434" s="552">
        <v>1</v>
      </c>
      <c r="AR434" s="552">
        <v>1</v>
      </c>
      <c r="AS434" s="552">
        <v>1</v>
      </c>
      <c r="AT434" s="552">
        <v>1</v>
      </c>
      <c r="AU434" s="552">
        <v>1</v>
      </c>
      <c r="AV434" s="553" t="str">
        <f>IF(H434="YES","'"&amp;INDEX('Structure Groups'!$C$12:$C$14,MATCH('Load Criteria'!$B$5,'Structure Groups'!$B$12:$B$14,0),1)&amp;"'","'All'")</f>
        <v>'GL Max 800m'</v>
      </c>
      <c r="AW434" s="552" t="s">
        <v>562</v>
      </c>
      <c r="AX434" s="552"/>
      <c r="AY434" s="552" t="str">
        <f t="shared" si="625"/>
        <v>No</v>
      </c>
      <c r="AZ434" s="554" t="str">
        <f t="shared" ref="AZ434" si="678">IF(AY434="No","",IF(L434="A","Ahead Spans","Back Spans"))</f>
        <v/>
      </c>
      <c r="BA434" s="554" t="str">
        <f t="shared" ref="BA434" si="679">IF(AZ434="","","% Wire Wind Pressure")</f>
        <v/>
      </c>
      <c r="BB434" s="552" t="str">
        <f t="shared" ref="BB434" si="680">IF(AZ434="","",75)</f>
        <v/>
      </c>
      <c r="BC434" s="554"/>
      <c r="BD434" s="554"/>
      <c r="BE434" s="552"/>
      <c r="BF434" s="554"/>
      <c r="BG434" s="554"/>
      <c r="BH434" s="552"/>
      <c r="BI434" s="554"/>
      <c r="BJ434" s="554"/>
      <c r="BK434" s="552"/>
      <c r="BL434" s="554"/>
      <c r="BM434" s="554"/>
      <c r="BN434" s="552"/>
      <c r="BO434" s="554"/>
      <c r="BP434" s="554"/>
      <c r="BQ434" s="552"/>
      <c r="BR434" s="554"/>
      <c r="BS434" s="554"/>
      <c r="BT434" s="554"/>
      <c r="BU434" s="554"/>
      <c r="BV434" s="554"/>
      <c r="BW434" s="554"/>
      <c r="BX434" s="554"/>
      <c r="BY434" s="554"/>
      <c r="BZ434" s="554"/>
      <c r="CA434" s="554"/>
      <c r="CB434" s="554"/>
      <c r="CC434" s="554"/>
      <c r="CD434" s="554"/>
      <c r="CE434" s="554"/>
      <c r="CF434" s="554"/>
      <c r="CG434" s="554"/>
      <c r="CH434" s="554"/>
      <c r="CI434" s="554"/>
      <c r="CJ434" s="554"/>
      <c r="CK434" s="554"/>
      <c r="CL434" s="554"/>
      <c r="CM434" s="554"/>
      <c r="CN434" s="554"/>
      <c r="CO434" s="554"/>
      <c r="CP434" s="554"/>
      <c r="CQ434" s="554"/>
      <c r="CR434" s="554"/>
      <c r="CS434" s="554"/>
      <c r="CT434" s="554"/>
      <c r="CU434" s="554"/>
      <c r="CV434" s="554"/>
      <c r="CW434" s="554"/>
      <c r="CX434" s="554"/>
      <c r="CY434" s="554"/>
      <c r="CZ434" s="554"/>
      <c r="DA434" s="554"/>
      <c r="DB434" s="554"/>
      <c r="DC434" s="554"/>
      <c r="DD434" s="554"/>
      <c r="DE434" s="534"/>
      <c r="DF434" s="534"/>
      <c r="DG434" s="534"/>
    </row>
    <row r="435" spans="1:111" ht="15" x14ac:dyDescent="0.25">
      <c r="A435" s="549">
        <f>IFERROR(IF(INDEX('Weather Cases'!$E$10:$E$94,MATCH('Load Criteria'!X435,'Weather Cases'!$H$10:$H$94,0),1)=1,1,"-"),"-")</f>
        <v>1</v>
      </c>
      <c r="B435" s="555" t="s">
        <v>558</v>
      </c>
      <c r="C435" s="556" t="str">
        <f>IF('Weather Cases'!$E$40=0,"","DC/SC")</f>
        <v>DC/SC</v>
      </c>
      <c r="D435" s="556" t="s">
        <v>585</v>
      </c>
      <c r="E435" s="556" t="s">
        <v>22</v>
      </c>
      <c r="F435" s="556" t="s">
        <v>22</v>
      </c>
      <c r="G435" s="556" t="str">
        <f>IFERROR(IF(MID('Load Criteria'!X435,FIND("_",'Load Criteria'!X435,1)+1,1)=LEFT(Control!$D$23,1),"YES","-"),"-")</f>
        <v>-</v>
      </c>
      <c r="H435" s="549" t="str">
        <f>IF(INDEX('Weather Cases'!$G$10:$G$94,MATCH('Load Criteria'!X435,'Weather Cases'!$H$10:$H$94,0),1)="H","YES","-")</f>
        <v>YES</v>
      </c>
      <c r="I435" s="557" t="s">
        <v>585</v>
      </c>
      <c r="J435" s="508" t="s">
        <v>587</v>
      </c>
      <c r="K435" s="508" t="s">
        <v>60</v>
      </c>
      <c r="L435" s="508" t="s">
        <v>24</v>
      </c>
      <c r="M435" s="508"/>
      <c r="N435" s="508"/>
      <c r="O435" s="508"/>
      <c r="P435" s="395"/>
      <c r="Q435" s="395"/>
      <c r="R435" s="395"/>
      <c r="S435" s="395"/>
      <c r="T435" s="395"/>
      <c r="U435" s="255" t="s">
        <v>568</v>
      </c>
      <c r="V435" s="551" t="s">
        <v>300</v>
      </c>
      <c r="W435" s="588" t="str">
        <f t="shared" ref="W435" si="681">X435&amp;"+"&amp;K435&amp;IF(L435="","",CONCATENATE(L435,M435,N435,O435))&amp;" "&amp;U435</f>
        <v>CM2I_8+DA NA+</v>
      </c>
      <c r="X435" s="552" t="str">
        <f>I435&amp;TEXT(J435,"0000")&amp;"_"&amp;LEFT(Control!$D$22,LEN(Control!$D$22)-2)</f>
        <v>CM2I_8</v>
      </c>
      <c r="Y435" s="552" t="s">
        <v>433</v>
      </c>
      <c r="Z435" s="552" t="str">
        <f t="shared" ref="Z435" si="682">U435</f>
        <v>NA+</v>
      </c>
      <c r="AA435" s="552"/>
      <c r="AB435" s="552">
        <v>1</v>
      </c>
      <c r="AC435" s="552">
        <v>1</v>
      </c>
      <c r="AD435" s="552">
        <v>1</v>
      </c>
      <c r="AE435" s="552">
        <v>1</v>
      </c>
      <c r="AF435" s="552">
        <v>1</v>
      </c>
      <c r="AG435" s="542" t="s">
        <v>561</v>
      </c>
      <c r="AH435" s="552">
        <v>0</v>
      </c>
      <c r="AI435" s="552">
        <v>0</v>
      </c>
      <c r="AJ435" s="552">
        <v>1</v>
      </c>
      <c r="AK435" s="552">
        <v>1</v>
      </c>
      <c r="AL435" s="552">
        <v>1</v>
      </c>
      <c r="AM435" s="552">
        <v>0</v>
      </c>
      <c r="AN435" s="552">
        <v>0</v>
      </c>
      <c r="AO435" s="552">
        <v>1</v>
      </c>
      <c r="AP435" s="552">
        <v>1</v>
      </c>
      <c r="AQ435" s="552">
        <v>1</v>
      </c>
      <c r="AR435" s="552">
        <v>1</v>
      </c>
      <c r="AS435" s="552">
        <v>1</v>
      </c>
      <c r="AT435" s="552">
        <v>1</v>
      </c>
      <c r="AU435" s="552">
        <v>1</v>
      </c>
      <c r="AV435" s="553" t="str">
        <f>IF(H435="YES","'"&amp;INDEX('Structure Groups'!$C$12:$C$14,MATCH('Load Criteria'!$B$5,'Structure Groups'!$B$12:$B$14,0),1)&amp;"'","'All'")</f>
        <v>'GL Max 800m'</v>
      </c>
      <c r="AW435" s="552" t="s">
        <v>562</v>
      </c>
      <c r="AX435" s="552"/>
      <c r="AY435" s="552" t="str">
        <f t="shared" ref="AY435" si="683">IF(L435="","No","Yes")</f>
        <v>Yes</v>
      </c>
      <c r="AZ435" s="554" t="str">
        <f>IF($AY435="No","",IF($L435="A","Ahead Spans","Back Spans"))</f>
        <v>Ahead Spans</v>
      </c>
      <c r="BA435" s="554" t="str">
        <f>IF(AZ435="","","% Wire Ice")</f>
        <v>% Wire Ice</v>
      </c>
      <c r="BB435" s="552">
        <f>IF(AZ435="","",40)</f>
        <v>40</v>
      </c>
      <c r="BC435" s="554" t="str">
        <f>IF($AY435="No","",IF($L435="A","Back Spans","Ahead Spans"))</f>
        <v>Back Spans</v>
      </c>
      <c r="BD435" s="554" t="str">
        <f t="shared" ref="BD435" si="684">IF(BC435="","","% Wire Ice")</f>
        <v>% Wire Ice</v>
      </c>
      <c r="BE435" s="552">
        <f>IF(BB435="","",70)</f>
        <v>70</v>
      </c>
      <c r="BF435" s="554"/>
      <c r="BG435" s="554"/>
      <c r="BH435" s="552"/>
      <c r="BI435" s="554"/>
      <c r="BJ435" s="554"/>
      <c r="BK435" s="552"/>
      <c r="BL435" s="554"/>
      <c r="BM435" s="554"/>
      <c r="BN435" s="552"/>
      <c r="BO435" s="554"/>
      <c r="BP435" s="554"/>
      <c r="BQ435" s="552"/>
      <c r="BR435" s="554"/>
      <c r="BS435" s="554"/>
      <c r="BT435" s="554"/>
      <c r="BU435" s="554"/>
      <c r="BV435" s="554"/>
      <c r="BW435" s="554"/>
      <c r="BX435" s="554"/>
      <c r="BY435" s="554"/>
      <c r="BZ435" s="554"/>
      <c r="CA435" s="554"/>
      <c r="CB435" s="554"/>
      <c r="CC435" s="554"/>
      <c r="CD435" s="554"/>
      <c r="CE435" s="554"/>
      <c r="CF435" s="554"/>
      <c r="CG435" s="554"/>
      <c r="CH435" s="554"/>
      <c r="CI435" s="554"/>
      <c r="CJ435" s="554"/>
      <c r="CK435" s="554"/>
      <c r="CL435" s="554"/>
      <c r="CM435" s="554"/>
      <c r="CN435" s="554"/>
      <c r="CO435" s="554"/>
      <c r="CP435" s="554"/>
      <c r="CQ435" s="554"/>
      <c r="CR435" s="554"/>
      <c r="CS435" s="554"/>
      <c r="CT435" s="554"/>
      <c r="CU435" s="554"/>
      <c r="CV435" s="554"/>
      <c r="CW435" s="554"/>
      <c r="CX435" s="554"/>
      <c r="CY435" s="554"/>
      <c r="CZ435" s="554"/>
      <c r="DA435" s="554"/>
      <c r="DB435" s="554"/>
      <c r="DC435" s="554"/>
      <c r="DD435" s="554"/>
      <c r="DE435" s="534"/>
      <c r="DF435" s="534"/>
      <c r="DG435" s="534"/>
    </row>
    <row r="436" spans="1:111" ht="15" x14ac:dyDescent="0.25">
      <c r="A436" s="549">
        <f>IFERROR(IF(INDEX('Weather Cases'!$E$10:$E$94,MATCH('Load Criteria'!X436,'Weather Cases'!$H$10:$H$94,0),1)=1,1,"-"),"-")</f>
        <v>1</v>
      </c>
      <c r="B436" s="555" t="s">
        <v>558</v>
      </c>
      <c r="C436" s="556" t="str">
        <f>IF('Weather Cases'!$E$40=0,"","DC/SC")</f>
        <v>DC/SC</v>
      </c>
      <c r="D436" s="556" t="s">
        <v>585</v>
      </c>
      <c r="E436" s="556" t="s">
        <v>22</v>
      </c>
      <c r="F436" s="556" t="s">
        <v>22</v>
      </c>
      <c r="G436" s="556" t="str">
        <f>IFERROR(IF(MID('Load Criteria'!X436,FIND("_",'Load Criteria'!X436,1)+1,1)=LEFT(Control!$D$23,1),"YES","-"),"-")</f>
        <v>-</v>
      </c>
      <c r="H436" s="549" t="str">
        <f>IF(INDEX('Weather Cases'!$G$10:$G$94,MATCH('Load Criteria'!X436,'Weather Cases'!$H$10:$H$94,0),1)="H","YES","-")</f>
        <v>YES</v>
      </c>
      <c r="I436" s="557" t="s">
        <v>585</v>
      </c>
      <c r="J436" s="508" t="s">
        <v>587</v>
      </c>
      <c r="K436" s="508" t="s">
        <v>60</v>
      </c>
      <c r="L436" s="508" t="s">
        <v>24</v>
      </c>
      <c r="M436" s="508"/>
      <c r="N436" s="508"/>
      <c r="O436" s="508"/>
      <c r="P436" s="395"/>
      <c r="Q436" s="395"/>
      <c r="R436" s="395"/>
      <c r="S436" s="395"/>
      <c r="T436" s="395"/>
      <c r="U436" s="255" t="s">
        <v>574</v>
      </c>
      <c r="V436" s="551" t="s">
        <v>300</v>
      </c>
      <c r="W436" s="542" t="str">
        <f t="shared" ref="W436:W438" si="685">X436&amp;"+"&amp;K436&amp;IF(L436="","",CONCATENATE(L436,M436,N436,O436))&amp;" "&amp;U436</f>
        <v>CM2I_8+DA NA-</v>
      </c>
      <c r="X436" s="552" t="str">
        <f>I436&amp;TEXT(J436,"0000")&amp;"_"&amp;LEFT(Control!$D$22,LEN(Control!$D$22)-2)</f>
        <v>CM2I_8</v>
      </c>
      <c r="Y436" s="552" t="s">
        <v>433</v>
      </c>
      <c r="Z436" s="552" t="str">
        <f t="shared" si="624"/>
        <v>NA-</v>
      </c>
      <c r="AA436" s="552"/>
      <c r="AB436" s="552">
        <v>1</v>
      </c>
      <c r="AC436" s="552">
        <v>1</v>
      </c>
      <c r="AD436" s="552">
        <v>1</v>
      </c>
      <c r="AE436" s="552">
        <v>1</v>
      </c>
      <c r="AF436" s="552">
        <v>1</v>
      </c>
      <c r="AG436" s="542" t="s">
        <v>561</v>
      </c>
      <c r="AH436" s="552">
        <v>0</v>
      </c>
      <c r="AI436" s="552">
        <v>0</v>
      </c>
      <c r="AJ436" s="552">
        <v>1</v>
      </c>
      <c r="AK436" s="552">
        <v>1</v>
      </c>
      <c r="AL436" s="552">
        <v>1</v>
      </c>
      <c r="AM436" s="552">
        <v>0</v>
      </c>
      <c r="AN436" s="552">
        <v>0</v>
      </c>
      <c r="AO436" s="552">
        <v>1</v>
      </c>
      <c r="AP436" s="552">
        <v>1</v>
      </c>
      <c r="AQ436" s="552">
        <v>1</v>
      </c>
      <c r="AR436" s="552">
        <v>1</v>
      </c>
      <c r="AS436" s="552">
        <v>1</v>
      </c>
      <c r="AT436" s="552">
        <v>1</v>
      </c>
      <c r="AU436" s="552">
        <v>1</v>
      </c>
      <c r="AV436" s="553" t="str">
        <f>IF(H436="YES","'"&amp;INDEX('Structure Groups'!$C$12:$C$14,MATCH('Load Criteria'!$B$5,'Structure Groups'!$B$12:$B$14,0),1)&amp;"'","'All'")</f>
        <v>'GL Max 800m'</v>
      </c>
      <c r="AW436" s="552" t="s">
        <v>562</v>
      </c>
      <c r="AX436" s="552"/>
      <c r="AY436" s="552" t="str">
        <f t="shared" si="625"/>
        <v>Yes</v>
      </c>
      <c r="AZ436" s="554" t="str">
        <f>IF($AY436="No","",IF($L436="A","Ahead Spans","Back Spans"))</f>
        <v>Ahead Spans</v>
      </c>
      <c r="BA436" s="554" t="str">
        <f>IF(AZ436="","","% Wire Ice")</f>
        <v>% Wire Ice</v>
      </c>
      <c r="BB436" s="552">
        <f>IF(AZ436="","",40)</f>
        <v>40</v>
      </c>
      <c r="BC436" s="554" t="str">
        <f>IF($AY436="No","",IF($L436="A","Back Spans","Ahead Spans"))</f>
        <v>Back Spans</v>
      </c>
      <c r="BD436" s="554" t="str">
        <f t="shared" ref="BD436:BD438" si="686">IF(BC436="","","% Wire Ice")</f>
        <v>% Wire Ice</v>
      </c>
      <c r="BE436" s="552">
        <f>IF(BB436="","",70)</f>
        <v>70</v>
      </c>
      <c r="BF436" s="554"/>
      <c r="BG436" s="554"/>
      <c r="BH436" s="552"/>
      <c r="BI436" s="554"/>
      <c r="BJ436" s="554"/>
      <c r="BK436" s="552"/>
      <c r="BL436" s="554"/>
      <c r="BM436" s="554"/>
      <c r="BN436" s="552"/>
      <c r="BO436" s="554"/>
      <c r="BP436" s="554"/>
      <c r="BQ436" s="552"/>
      <c r="BR436" s="554"/>
      <c r="BS436" s="554"/>
      <c r="BT436" s="554"/>
      <c r="BU436" s="554"/>
      <c r="BV436" s="554"/>
      <c r="BW436" s="554"/>
      <c r="BX436" s="554"/>
      <c r="BY436" s="554"/>
      <c r="BZ436" s="554"/>
      <c r="CA436" s="554"/>
      <c r="CB436" s="554"/>
      <c r="CC436" s="554"/>
      <c r="CD436" s="554"/>
      <c r="CE436" s="554"/>
      <c r="CF436" s="554"/>
      <c r="CG436" s="554"/>
      <c r="CH436" s="554"/>
      <c r="CI436" s="554"/>
      <c r="CJ436" s="554"/>
      <c r="CK436" s="554"/>
      <c r="CL436" s="554"/>
      <c r="CM436" s="554"/>
      <c r="CN436" s="554"/>
      <c r="CO436" s="554"/>
      <c r="CP436" s="554"/>
      <c r="CQ436" s="554"/>
      <c r="CR436" s="554"/>
      <c r="CS436" s="554"/>
      <c r="CT436" s="554"/>
      <c r="CU436" s="554"/>
      <c r="CV436" s="554"/>
      <c r="CW436" s="554"/>
      <c r="CX436" s="554"/>
      <c r="CY436" s="554"/>
      <c r="CZ436" s="554"/>
      <c r="DA436" s="554"/>
      <c r="DB436" s="554"/>
      <c r="DC436" s="554"/>
      <c r="DD436" s="554"/>
      <c r="DE436" s="534"/>
      <c r="DF436" s="534"/>
      <c r="DG436" s="534"/>
    </row>
    <row r="437" spans="1:111" ht="15" x14ac:dyDescent="0.25">
      <c r="A437" s="549">
        <f>IFERROR(IF(INDEX('Weather Cases'!$E$10:$E$94,MATCH('Load Criteria'!X437,'Weather Cases'!$H$10:$H$94,0),1)=1,1,"-"),"-")</f>
        <v>1</v>
      </c>
      <c r="B437" s="555" t="s">
        <v>558</v>
      </c>
      <c r="C437" s="556" t="str">
        <f>IF('Weather Cases'!$E$40=0,"","DC/SC")</f>
        <v>DC/SC</v>
      </c>
      <c r="D437" s="556" t="s">
        <v>585</v>
      </c>
      <c r="E437" s="556" t="s">
        <v>22</v>
      </c>
      <c r="F437" s="556" t="s">
        <v>22</v>
      </c>
      <c r="G437" s="556" t="str">
        <f>IFERROR(IF(MID('Load Criteria'!X437,FIND("_",'Load Criteria'!X437,1)+1,1)=LEFT(Control!$D$23,1),"YES","-"),"-")</f>
        <v>-</v>
      </c>
      <c r="H437" s="549" t="str">
        <f>IF(INDEX('Weather Cases'!$G$10:$G$94,MATCH('Load Criteria'!X437,'Weather Cases'!$H$10:$H$94,0),1)="H","YES","-")</f>
        <v>YES</v>
      </c>
      <c r="I437" s="557" t="s">
        <v>585</v>
      </c>
      <c r="J437" s="508" t="s">
        <v>587</v>
      </c>
      <c r="K437" s="508" t="s">
        <v>60</v>
      </c>
      <c r="L437" s="508" t="s">
        <v>40</v>
      </c>
      <c r="M437" s="508"/>
      <c r="N437" s="508"/>
      <c r="O437" s="508"/>
      <c r="P437" s="395"/>
      <c r="Q437" s="395"/>
      <c r="R437" s="395"/>
      <c r="S437" s="395"/>
      <c r="T437" s="395"/>
      <c r="U437" s="255" t="s">
        <v>568</v>
      </c>
      <c r="V437" s="551" t="s">
        <v>300</v>
      </c>
      <c r="W437" s="588" t="str">
        <f t="shared" ref="W437" si="687">X437&amp;"+"&amp;K437&amp;IF(L437="","",CONCATENATE(L437,M437,N437,O437))&amp;" "&amp;U437</f>
        <v>CM2I_8+DB NA+</v>
      </c>
      <c r="X437" s="552" t="str">
        <f>I437&amp;TEXT(J437,"0000")&amp;"_"&amp;LEFT(Control!$D$22,LEN(Control!$D$22)-2)</f>
        <v>CM2I_8</v>
      </c>
      <c r="Y437" s="552" t="s">
        <v>433</v>
      </c>
      <c r="Z437" s="552" t="str">
        <f t="shared" ref="Z437" si="688">U437</f>
        <v>NA+</v>
      </c>
      <c r="AA437" s="552"/>
      <c r="AB437" s="552">
        <v>1</v>
      </c>
      <c r="AC437" s="552">
        <v>1</v>
      </c>
      <c r="AD437" s="552">
        <v>1</v>
      </c>
      <c r="AE437" s="552">
        <v>1</v>
      </c>
      <c r="AF437" s="552">
        <v>1</v>
      </c>
      <c r="AG437" s="542" t="s">
        <v>561</v>
      </c>
      <c r="AH437" s="552">
        <v>0</v>
      </c>
      <c r="AI437" s="552">
        <v>0</v>
      </c>
      <c r="AJ437" s="552">
        <v>1</v>
      </c>
      <c r="AK437" s="552">
        <v>1</v>
      </c>
      <c r="AL437" s="552">
        <v>1</v>
      </c>
      <c r="AM437" s="552">
        <v>0</v>
      </c>
      <c r="AN437" s="552">
        <v>0</v>
      </c>
      <c r="AO437" s="552">
        <v>1</v>
      </c>
      <c r="AP437" s="552">
        <v>1</v>
      </c>
      <c r="AQ437" s="552">
        <v>1</v>
      </c>
      <c r="AR437" s="552">
        <v>1</v>
      </c>
      <c r="AS437" s="552">
        <v>1</v>
      </c>
      <c r="AT437" s="552">
        <v>1</v>
      </c>
      <c r="AU437" s="552">
        <v>1</v>
      </c>
      <c r="AV437" s="553" t="str">
        <f>IF(H437="YES","'"&amp;INDEX('Structure Groups'!$C$12:$C$14,MATCH('Load Criteria'!$B$5,'Structure Groups'!$B$12:$B$14,0),1)&amp;"'","'All'")</f>
        <v>'GL Max 800m'</v>
      </c>
      <c r="AW437" s="552" t="s">
        <v>562</v>
      </c>
      <c r="AX437" s="552"/>
      <c r="AY437" s="552" t="str">
        <f t="shared" ref="AY437" si="689">IF(L437="","No","Yes")</f>
        <v>Yes</v>
      </c>
      <c r="AZ437" s="554" t="str">
        <f>IF($AY437="No","",IF($L437="A","Ahead Spans","Back Spans"))</f>
        <v>Back Spans</v>
      </c>
      <c r="BA437" s="554" t="str">
        <f>IF(AZ437="","","% Wire Ice")</f>
        <v>% Wire Ice</v>
      </c>
      <c r="BB437" s="552">
        <f>IF(AZ437="","",40)</f>
        <v>40</v>
      </c>
      <c r="BC437" s="554" t="str">
        <f>IF($AY437="No","",IF($L437="A","Back Spans","Ahead Spans"))</f>
        <v>Ahead Spans</v>
      </c>
      <c r="BD437" s="554" t="str">
        <f t="shared" ref="BD437" si="690">IF(BC437="","","% Wire Ice")</f>
        <v>% Wire Ice</v>
      </c>
      <c r="BE437" s="552">
        <f>IF(BB437="","",70)</f>
        <v>70</v>
      </c>
      <c r="BF437" s="554"/>
      <c r="BG437" s="554"/>
      <c r="BH437" s="552"/>
      <c r="BI437" s="554"/>
      <c r="BJ437" s="554"/>
      <c r="BK437" s="552"/>
      <c r="BL437" s="554"/>
      <c r="BM437" s="554"/>
      <c r="BN437" s="552"/>
      <c r="BO437" s="554"/>
      <c r="BP437" s="554"/>
      <c r="BQ437" s="552"/>
      <c r="BR437" s="554"/>
      <c r="BS437" s="554"/>
      <c r="BT437" s="554"/>
      <c r="BU437" s="554"/>
      <c r="BV437" s="554"/>
      <c r="BW437" s="554"/>
      <c r="BX437" s="554"/>
      <c r="BY437" s="554"/>
      <c r="BZ437" s="554"/>
      <c r="CA437" s="554"/>
      <c r="CB437" s="554"/>
      <c r="CC437" s="554"/>
      <c r="CD437" s="554"/>
      <c r="CE437" s="554"/>
      <c r="CF437" s="554"/>
      <c r="CG437" s="554"/>
      <c r="CH437" s="554"/>
      <c r="CI437" s="554"/>
      <c r="CJ437" s="554"/>
      <c r="CK437" s="554"/>
      <c r="CL437" s="554"/>
      <c r="CM437" s="554"/>
      <c r="CN437" s="554"/>
      <c r="CO437" s="554"/>
      <c r="CP437" s="554"/>
      <c r="CQ437" s="554"/>
      <c r="CR437" s="554"/>
      <c r="CS437" s="554"/>
      <c r="CT437" s="554"/>
      <c r="CU437" s="554"/>
      <c r="CV437" s="554"/>
      <c r="CW437" s="554"/>
      <c r="CX437" s="554"/>
      <c r="CY437" s="554"/>
      <c r="CZ437" s="554"/>
      <c r="DA437" s="554"/>
      <c r="DB437" s="554"/>
      <c r="DC437" s="554"/>
      <c r="DD437" s="554"/>
      <c r="DE437" s="534"/>
      <c r="DF437" s="534"/>
      <c r="DG437" s="534"/>
    </row>
    <row r="438" spans="1:111" ht="15" x14ac:dyDescent="0.25">
      <c r="A438" s="549">
        <f>IFERROR(IF(INDEX('Weather Cases'!$E$10:$E$94,MATCH('Load Criteria'!X438,'Weather Cases'!$H$10:$H$94,0),1)=1,1,"-"),"-")</f>
        <v>1</v>
      </c>
      <c r="B438" s="555" t="s">
        <v>558</v>
      </c>
      <c r="C438" s="556" t="str">
        <f>IF('Weather Cases'!$E$40=0,"","DC/SC")</f>
        <v>DC/SC</v>
      </c>
      <c r="D438" s="556" t="s">
        <v>585</v>
      </c>
      <c r="E438" s="556" t="s">
        <v>22</v>
      </c>
      <c r="F438" s="556" t="s">
        <v>22</v>
      </c>
      <c r="G438" s="556" t="str">
        <f>IFERROR(IF(MID('Load Criteria'!X438,FIND("_",'Load Criteria'!X438,1)+1,1)=LEFT(Control!$D$23,1),"YES","-"),"-")</f>
        <v>-</v>
      </c>
      <c r="H438" s="549" t="str">
        <f>IF(INDEX('Weather Cases'!$G$10:$G$94,MATCH('Load Criteria'!X438,'Weather Cases'!$H$10:$H$94,0),1)="H","YES","-")</f>
        <v>YES</v>
      </c>
      <c r="I438" s="557" t="s">
        <v>585</v>
      </c>
      <c r="J438" s="508" t="s">
        <v>587</v>
      </c>
      <c r="K438" s="508" t="s">
        <v>60</v>
      </c>
      <c r="L438" s="508" t="s">
        <v>40</v>
      </c>
      <c r="M438" s="508"/>
      <c r="N438" s="508"/>
      <c r="O438" s="508"/>
      <c r="P438" s="395"/>
      <c r="Q438" s="395"/>
      <c r="R438" s="395"/>
      <c r="S438" s="395"/>
      <c r="T438" s="395"/>
      <c r="U438" s="255" t="s">
        <v>574</v>
      </c>
      <c r="V438" s="551" t="s">
        <v>300</v>
      </c>
      <c r="W438" s="542" t="str">
        <f t="shared" si="685"/>
        <v>CM2I_8+DB NA-</v>
      </c>
      <c r="X438" s="552" t="str">
        <f>I438&amp;TEXT(J438,"0000")&amp;"_"&amp;LEFT(Control!$D$22,LEN(Control!$D$22)-2)</f>
        <v>CM2I_8</v>
      </c>
      <c r="Y438" s="552" t="s">
        <v>433</v>
      </c>
      <c r="Z438" s="552" t="str">
        <f t="shared" si="624"/>
        <v>NA-</v>
      </c>
      <c r="AA438" s="552"/>
      <c r="AB438" s="552">
        <v>1</v>
      </c>
      <c r="AC438" s="552">
        <v>1</v>
      </c>
      <c r="AD438" s="552">
        <v>1</v>
      </c>
      <c r="AE438" s="552">
        <v>1</v>
      </c>
      <c r="AF438" s="552">
        <v>1</v>
      </c>
      <c r="AG438" s="542" t="s">
        <v>561</v>
      </c>
      <c r="AH438" s="552">
        <v>0</v>
      </c>
      <c r="AI438" s="552">
        <v>0</v>
      </c>
      <c r="AJ438" s="552">
        <v>1</v>
      </c>
      <c r="AK438" s="552">
        <v>1</v>
      </c>
      <c r="AL438" s="552">
        <v>1</v>
      </c>
      <c r="AM438" s="552">
        <v>0</v>
      </c>
      <c r="AN438" s="552">
        <v>0</v>
      </c>
      <c r="AO438" s="552">
        <v>1</v>
      </c>
      <c r="AP438" s="552">
        <v>1</v>
      </c>
      <c r="AQ438" s="552">
        <v>1</v>
      </c>
      <c r="AR438" s="552">
        <v>1</v>
      </c>
      <c r="AS438" s="552">
        <v>1</v>
      </c>
      <c r="AT438" s="552">
        <v>1</v>
      </c>
      <c r="AU438" s="552">
        <v>1</v>
      </c>
      <c r="AV438" s="553" t="str">
        <f>IF(H438="YES","'"&amp;INDEX('Structure Groups'!$C$12:$C$14,MATCH('Load Criteria'!$B$5,'Structure Groups'!$B$12:$B$14,0),1)&amp;"'","'All'")</f>
        <v>'GL Max 800m'</v>
      </c>
      <c r="AW438" s="552" t="s">
        <v>562</v>
      </c>
      <c r="AX438" s="552"/>
      <c r="AY438" s="552" t="str">
        <f t="shared" si="625"/>
        <v>Yes</v>
      </c>
      <c r="AZ438" s="554" t="str">
        <f>IF($AY438="No","",IF($L438="A","Ahead Spans","Back Spans"))</f>
        <v>Back Spans</v>
      </c>
      <c r="BA438" s="554" t="str">
        <f>IF(AZ438="","","% Wire Ice")</f>
        <v>% Wire Ice</v>
      </c>
      <c r="BB438" s="552">
        <f>IF(AZ438="","",40)</f>
        <v>40</v>
      </c>
      <c r="BC438" s="554" t="str">
        <f>IF($AY438="No","",IF($L438="A","Back Spans","Ahead Spans"))</f>
        <v>Ahead Spans</v>
      </c>
      <c r="BD438" s="554" t="str">
        <f t="shared" si="686"/>
        <v>% Wire Ice</v>
      </c>
      <c r="BE438" s="552">
        <f>IF(BB438="","",70)</f>
        <v>70</v>
      </c>
      <c r="BF438" s="554"/>
      <c r="BG438" s="554"/>
      <c r="BH438" s="552"/>
      <c r="BI438" s="554"/>
      <c r="BJ438" s="554"/>
      <c r="BK438" s="552"/>
      <c r="BL438" s="554"/>
      <c r="BM438" s="554"/>
      <c r="BN438" s="552"/>
      <c r="BO438" s="554"/>
      <c r="BP438" s="554"/>
      <c r="BQ438" s="552"/>
      <c r="BR438" s="554"/>
      <c r="BS438" s="554"/>
      <c r="BT438" s="554"/>
      <c r="BU438" s="554"/>
      <c r="BV438" s="554"/>
      <c r="BW438" s="554"/>
      <c r="BX438" s="554"/>
      <c r="BY438" s="554"/>
      <c r="BZ438" s="554"/>
      <c r="CA438" s="554"/>
      <c r="CB438" s="554"/>
      <c r="CC438" s="554"/>
      <c r="CD438" s="554"/>
      <c r="CE438" s="554"/>
      <c r="CF438" s="554"/>
      <c r="CG438" s="554"/>
      <c r="CH438" s="554"/>
      <c r="CI438" s="554"/>
      <c r="CJ438" s="554"/>
      <c r="CK438" s="554"/>
      <c r="CL438" s="554"/>
      <c r="CM438" s="554"/>
      <c r="CN438" s="554"/>
      <c r="CO438" s="554"/>
      <c r="CP438" s="554"/>
      <c r="CQ438" s="554"/>
      <c r="CR438" s="554"/>
      <c r="CS438" s="554"/>
      <c r="CT438" s="554"/>
      <c r="CU438" s="554"/>
      <c r="CV438" s="554"/>
      <c r="CW438" s="554"/>
      <c r="CX438" s="554"/>
      <c r="CY438" s="554"/>
      <c r="CZ438" s="554"/>
      <c r="DA438" s="554"/>
      <c r="DB438" s="554"/>
      <c r="DC438" s="554"/>
      <c r="DD438" s="554"/>
      <c r="DE438" s="534"/>
      <c r="DF438" s="534"/>
      <c r="DG438" s="534"/>
    </row>
    <row r="439" spans="1:111" ht="15" x14ac:dyDescent="0.25">
      <c r="A439" s="549">
        <f>IFERROR(IF(INDEX('Weather Cases'!$E$10:$E$94,MATCH('Load Criteria'!X439,'Weather Cases'!$H$10:$H$94,0),1)=1,1,"-"),"-")</f>
        <v>1</v>
      </c>
      <c r="B439" s="555" t="s">
        <v>558</v>
      </c>
      <c r="C439" s="556" t="str">
        <f>IF('Weather Cases'!$E$40=0,"","DC/SC")</f>
        <v>DC/SC</v>
      </c>
      <c r="D439" s="556" t="s">
        <v>585</v>
      </c>
      <c r="E439" s="556" t="s">
        <v>22</v>
      </c>
      <c r="F439" s="556" t="s">
        <v>22</v>
      </c>
      <c r="G439" s="556" t="str">
        <f>IFERROR(IF(MID('Load Criteria'!X439,FIND("_",'Load Criteria'!X439,1)+1,1)=LEFT(Control!$D$23,1),"YES","-"),"-")</f>
        <v>YES</v>
      </c>
      <c r="H439" s="549" t="str">
        <f>IF(INDEX('Weather Cases'!$G$10:$G$94,MATCH('Load Criteria'!X439,'Weather Cases'!$H$10:$H$94,0),1)="H","YES","-")</f>
        <v>YES</v>
      </c>
      <c r="I439" s="557" t="s">
        <v>585</v>
      </c>
      <c r="J439" s="508">
        <v>3</v>
      </c>
      <c r="K439" s="508" t="s">
        <v>88</v>
      </c>
      <c r="L439" s="508"/>
      <c r="M439" s="508"/>
      <c r="N439" s="508"/>
      <c r="O439" s="508"/>
      <c r="P439" s="395"/>
      <c r="Q439" s="395"/>
      <c r="R439" s="395"/>
      <c r="S439" s="395"/>
      <c r="T439" s="395"/>
      <c r="U439" s="255" t="s">
        <v>568</v>
      </c>
      <c r="V439" s="551" t="s">
        <v>300</v>
      </c>
      <c r="W439" s="542" t="str">
        <f t="shared" si="583"/>
        <v>CM3_A8+E NA+</v>
      </c>
      <c r="X439" s="552" t="str">
        <f>I439&amp;TEXT(J439,"0")&amp;"_"&amp;LEFT(Control!$D$23,1)&amp;LEFT(Control!$D$22,LEN(Control!$D$22)-2)</f>
        <v>CM3_A8</v>
      </c>
      <c r="Y439" s="552" t="s">
        <v>433</v>
      </c>
      <c r="Z439" s="552" t="str">
        <f t="shared" si="551"/>
        <v>NA+</v>
      </c>
      <c r="AA439" s="552"/>
      <c r="AB439" s="552">
        <v>1</v>
      </c>
      <c r="AC439" s="552">
        <v>1</v>
      </c>
      <c r="AD439" s="552">
        <v>1</v>
      </c>
      <c r="AE439" s="552">
        <v>1</v>
      </c>
      <c r="AF439" s="552">
        <v>1</v>
      </c>
      <c r="AG439" s="542" t="s">
        <v>561</v>
      </c>
      <c r="AH439" s="552">
        <v>0</v>
      </c>
      <c r="AI439" s="552">
        <v>0</v>
      </c>
      <c r="AJ439" s="552">
        <v>1</v>
      </c>
      <c r="AK439" s="552">
        <v>1</v>
      </c>
      <c r="AL439" s="552">
        <v>1</v>
      </c>
      <c r="AM439" s="552">
        <v>0</v>
      </c>
      <c r="AN439" s="552">
        <v>0</v>
      </c>
      <c r="AO439" s="552">
        <v>1</v>
      </c>
      <c r="AP439" s="552">
        <v>1</v>
      </c>
      <c r="AQ439" s="552">
        <v>1</v>
      </c>
      <c r="AR439" s="552">
        <v>1</v>
      </c>
      <c r="AS439" s="552">
        <v>1</v>
      </c>
      <c r="AT439" s="552">
        <v>1</v>
      </c>
      <c r="AU439" s="552">
        <v>1</v>
      </c>
      <c r="AV439" s="553" t="str">
        <f>IF(H439="YES","'"&amp;INDEX('Structure Groups'!$C$12:$C$14,MATCH('Load Criteria'!$B$5,'Structure Groups'!$B$12:$B$14,0),1)&amp;"'","'All'")</f>
        <v>'GL Max 800m'</v>
      </c>
      <c r="AW439" s="552" t="s">
        <v>562</v>
      </c>
      <c r="AX439" s="552"/>
      <c r="AY439" s="552" t="str">
        <f t="shared" si="552"/>
        <v>No</v>
      </c>
      <c r="AZ439" s="554" t="str">
        <f t="shared" si="553"/>
        <v/>
      </c>
      <c r="BA439" s="554" t="str">
        <f t="shared" si="554"/>
        <v/>
      </c>
      <c r="BB439" s="552"/>
      <c r="BC439" s="554"/>
      <c r="BD439" s="554"/>
      <c r="BE439" s="552"/>
      <c r="BF439" s="554" t="str">
        <f t="shared" si="555"/>
        <v/>
      </c>
      <c r="BG439" s="554" t="str">
        <f t="shared" si="556"/>
        <v/>
      </c>
      <c r="BH439" s="552" t="str">
        <f t="shared" si="557"/>
        <v/>
      </c>
      <c r="BI439" s="554" t="str">
        <f t="shared" si="558"/>
        <v/>
      </c>
      <c r="BJ439" s="554" t="str">
        <f t="shared" si="559"/>
        <v/>
      </c>
      <c r="BK439" s="552" t="str">
        <f t="shared" si="560"/>
        <v/>
      </c>
      <c r="BL439" s="554" t="str">
        <f t="shared" si="561"/>
        <v/>
      </c>
      <c r="BM439" s="554" t="str">
        <f t="shared" si="562"/>
        <v/>
      </c>
      <c r="BN439" s="552" t="str">
        <f t="shared" si="563"/>
        <v/>
      </c>
      <c r="BO439" s="554" t="str">
        <f t="shared" si="564"/>
        <v/>
      </c>
      <c r="BP439" s="554" t="str">
        <f t="shared" si="565"/>
        <v/>
      </c>
      <c r="BQ439" s="552" t="str">
        <f t="shared" si="566"/>
        <v/>
      </c>
      <c r="BR439" s="554"/>
      <c r="BS439" s="554"/>
      <c r="BT439" s="554"/>
      <c r="BU439" s="554"/>
      <c r="BV439" s="554"/>
      <c r="BW439" s="554"/>
      <c r="BX439" s="554"/>
      <c r="BY439" s="554"/>
      <c r="BZ439" s="554"/>
      <c r="CA439" s="554"/>
      <c r="CB439" s="554"/>
      <c r="CC439" s="554"/>
      <c r="CD439" s="554"/>
      <c r="CE439" s="554"/>
      <c r="CF439" s="554"/>
      <c r="CG439" s="554"/>
      <c r="CH439" s="554"/>
      <c r="CI439" s="554"/>
      <c r="CJ439" s="554"/>
      <c r="CK439" s="554"/>
      <c r="CL439" s="554"/>
      <c r="CM439" s="554"/>
      <c r="CN439" s="554"/>
      <c r="CO439" s="554"/>
      <c r="CP439" s="554"/>
      <c r="CQ439" s="554"/>
      <c r="CR439" s="554"/>
      <c r="CS439" s="554"/>
      <c r="CT439" s="554"/>
      <c r="CU439" s="554"/>
      <c r="CV439" s="554"/>
      <c r="CW439" s="554"/>
      <c r="CX439" s="554"/>
      <c r="CY439" s="554"/>
      <c r="CZ439" s="554"/>
      <c r="DA439" s="554"/>
      <c r="DB439" s="554"/>
      <c r="DC439" s="554"/>
      <c r="DD439" s="554"/>
      <c r="DE439" s="534"/>
      <c r="DF439" s="534"/>
      <c r="DG439" s="534"/>
    </row>
    <row r="440" spans="1:111" ht="15" x14ac:dyDescent="0.25">
      <c r="A440" s="549">
        <f>IFERROR(IF(INDEX('Weather Cases'!$E$10:$E$94,MATCH('Load Criteria'!X440,'Weather Cases'!$H$10:$H$94,0),1)=1,1,"-"),"-")</f>
        <v>1</v>
      </c>
      <c r="B440" s="555" t="s">
        <v>558</v>
      </c>
      <c r="C440" s="556" t="str">
        <f>IF('Weather Cases'!$E$40=0,"","DC/SC")</f>
        <v>DC/SC</v>
      </c>
      <c r="D440" s="556" t="s">
        <v>585</v>
      </c>
      <c r="E440" s="556" t="s">
        <v>22</v>
      </c>
      <c r="F440" s="556" t="s">
        <v>22</v>
      </c>
      <c r="G440" s="556" t="str">
        <f>IFERROR(IF(MID('Load Criteria'!X440,FIND("_",'Load Criteria'!X440,1)+1,1)=LEFT(Control!$D$23,1),"YES","-"),"-")</f>
        <v>YES</v>
      </c>
      <c r="H440" s="549" t="str">
        <f>IF(INDEX('Weather Cases'!$G$10:$G$94,MATCH('Load Criteria'!X440,'Weather Cases'!$H$10:$H$94,0),1)="H","YES","-")</f>
        <v>YES</v>
      </c>
      <c r="I440" s="557" t="s">
        <v>585</v>
      </c>
      <c r="J440" s="508">
        <v>3</v>
      </c>
      <c r="K440" s="508" t="s">
        <v>60</v>
      </c>
      <c r="L440" s="508" t="s">
        <v>24</v>
      </c>
      <c r="M440" s="508"/>
      <c r="N440" s="508"/>
      <c r="O440" s="508"/>
      <c r="P440" s="395"/>
      <c r="Q440" s="395"/>
      <c r="R440" s="395"/>
      <c r="S440" s="395"/>
      <c r="T440" s="395"/>
      <c r="U440" s="255" t="s">
        <v>568</v>
      </c>
      <c r="V440" s="551" t="s">
        <v>300</v>
      </c>
      <c r="W440" s="542" t="str">
        <f t="shared" si="583"/>
        <v>CM3_A8+DA NA+</v>
      </c>
      <c r="X440" s="552" t="str">
        <f>I440&amp;TEXT(J440,"0")&amp;"_"&amp;LEFT(Control!$D$23,1)&amp;LEFT(Control!$D$22,LEN(Control!$D$22)-2)</f>
        <v>CM3_A8</v>
      </c>
      <c r="Y440" s="552" t="s">
        <v>433</v>
      </c>
      <c r="Z440" s="552" t="str">
        <f t="shared" si="551"/>
        <v>NA+</v>
      </c>
      <c r="AA440" s="552"/>
      <c r="AB440" s="552">
        <v>1</v>
      </c>
      <c r="AC440" s="552">
        <v>1</v>
      </c>
      <c r="AD440" s="552">
        <v>1</v>
      </c>
      <c r="AE440" s="552">
        <v>1</v>
      </c>
      <c r="AF440" s="552">
        <v>1</v>
      </c>
      <c r="AG440" s="542" t="s">
        <v>561</v>
      </c>
      <c r="AH440" s="552">
        <v>0</v>
      </c>
      <c r="AI440" s="552">
        <v>0</v>
      </c>
      <c r="AJ440" s="552">
        <v>1</v>
      </c>
      <c r="AK440" s="552">
        <v>1</v>
      </c>
      <c r="AL440" s="552">
        <v>1</v>
      </c>
      <c r="AM440" s="552">
        <v>0</v>
      </c>
      <c r="AN440" s="552">
        <v>0</v>
      </c>
      <c r="AO440" s="552">
        <v>1</v>
      </c>
      <c r="AP440" s="552">
        <v>1</v>
      </c>
      <c r="AQ440" s="552">
        <v>1</v>
      </c>
      <c r="AR440" s="552">
        <v>1</v>
      </c>
      <c r="AS440" s="552">
        <v>1</v>
      </c>
      <c r="AT440" s="552">
        <v>1</v>
      </c>
      <c r="AU440" s="552">
        <v>1</v>
      </c>
      <c r="AV440" s="553" t="str">
        <f>IF(H440="YES","'"&amp;INDEX('Structure Groups'!$C$12:$C$14,MATCH('Load Criteria'!$B$5,'Structure Groups'!$B$12:$B$14,0),1)&amp;"'","'All'")</f>
        <v>'GL Max 800m'</v>
      </c>
      <c r="AW440" s="552" t="s">
        <v>562</v>
      </c>
      <c r="AX440" s="552"/>
      <c r="AY440" s="552" t="str">
        <f t="shared" si="552"/>
        <v>Yes</v>
      </c>
      <c r="AZ440" s="554" t="str">
        <f t="shared" ref="AZ440:AZ441" si="691">IF(AY440="No","",IF(L440="A","Ahead Spans","Back Spans"))</f>
        <v>Ahead Spans</v>
      </c>
      <c r="BA440" s="554" t="str">
        <f t="shared" ref="BA440:BA441" si="692">IF(AZ440="","","% Wire Wind Pressure")</f>
        <v>% Wire Wind Pressure</v>
      </c>
      <c r="BB440" s="552">
        <f>IF(AZ440="","",75)</f>
        <v>75</v>
      </c>
      <c r="BC440" s="554"/>
      <c r="BD440" s="554"/>
      <c r="BE440" s="552"/>
      <c r="BF440" s="554" t="str">
        <f t="shared" si="555"/>
        <v/>
      </c>
      <c r="BG440" s="554" t="str">
        <f t="shared" si="556"/>
        <v/>
      </c>
      <c r="BH440" s="552" t="str">
        <f t="shared" si="557"/>
        <v/>
      </c>
      <c r="BI440" s="554" t="str">
        <f t="shared" si="558"/>
        <v/>
      </c>
      <c r="BJ440" s="554" t="str">
        <f t="shared" si="559"/>
        <v/>
      </c>
      <c r="BK440" s="552" t="str">
        <f t="shared" si="560"/>
        <v/>
      </c>
      <c r="BL440" s="554" t="str">
        <f t="shared" si="561"/>
        <v/>
      </c>
      <c r="BM440" s="554" t="str">
        <f t="shared" si="562"/>
        <v/>
      </c>
      <c r="BN440" s="552" t="str">
        <f t="shared" si="563"/>
        <v/>
      </c>
      <c r="BO440" s="554" t="str">
        <f t="shared" si="564"/>
        <v/>
      </c>
      <c r="BP440" s="554" t="str">
        <f t="shared" si="565"/>
        <v/>
      </c>
      <c r="BQ440" s="552" t="str">
        <f t="shared" si="566"/>
        <v/>
      </c>
      <c r="BR440" s="554"/>
      <c r="BS440" s="554"/>
      <c r="BT440" s="554"/>
      <c r="BU440" s="554"/>
      <c r="BV440" s="554"/>
      <c r="BW440" s="554"/>
      <c r="BX440" s="554"/>
      <c r="BY440" s="554"/>
      <c r="BZ440" s="554"/>
      <c r="CA440" s="554"/>
      <c r="CB440" s="554"/>
      <c r="CC440" s="554"/>
      <c r="CD440" s="554"/>
      <c r="CE440" s="554"/>
      <c r="CF440" s="554"/>
      <c r="CG440" s="554"/>
      <c r="CH440" s="554"/>
      <c r="CI440" s="554"/>
      <c r="CJ440" s="554"/>
      <c r="CK440" s="554"/>
      <c r="CL440" s="554"/>
      <c r="CM440" s="554"/>
      <c r="CN440" s="554"/>
      <c r="CO440" s="554"/>
      <c r="CP440" s="554"/>
      <c r="CQ440" s="554"/>
      <c r="CR440" s="554"/>
      <c r="CS440" s="554"/>
      <c r="CT440" s="554"/>
      <c r="CU440" s="554"/>
      <c r="CV440" s="554"/>
      <c r="CW440" s="554"/>
      <c r="CX440" s="554"/>
      <c r="CY440" s="554"/>
      <c r="CZ440" s="554"/>
      <c r="DA440" s="554"/>
      <c r="DB440" s="554"/>
      <c r="DC440" s="554"/>
      <c r="DD440" s="554"/>
      <c r="DE440" s="534"/>
      <c r="DF440" s="534"/>
      <c r="DG440" s="534"/>
    </row>
    <row r="441" spans="1:111" ht="15" x14ac:dyDescent="0.25">
      <c r="A441" s="549">
        <f>IFERROR(IF(INDEX('Weather Cases'!$E$10:$E$94,MATCH('Load Criteria'!X441,'Weather Cases'!$H$10:$H$94,0),1)=1,1,"-"),"-")</f>
        <v>1</v>
      </c>
      <c r="B441" s="555" t="s">
        <v>558</v>
      </c>
      <c r="C441" s="556" t="str">
        <f>IF('Weather Cases'!$E$40=0,"","DC/SC")</f>
        <v>DC/SC</v>
      </c>
      <c r="D441" s="556" t="s">
        <v>585</v>
      </c>
      <c r="E441" s="556" t="s">
        <v>22</v>
      </c>
      <c r="F441" s="556" t="s">
        <v>22</v>
      </c>
      <c r="G441" s="556" t="str">
        <f>IFERROR(IF(MID('Load Criteria'!X441,FIND("_",'Load Criteria'!X441,1)+1,1)=LEFT(Control!$D$23,1),"YES","-"),"-")</f>
        <v>YES</v>
      </c>
      <c r="H441" s="549" t="str">
        <f>IF(INDEX('Weather Cases'!$G$10:$G$94,MATCH('Load Criteria'!X441,'Weather Cases'!$H$10:$H$94,0),1)="H","YES","-")</f>
        <v>YES</v>
      </c>
      <c r="I441" s="557" t="s">
        <v>585</v>
      </c>
      <c r="J441" s="508">
        <v>3</v>
      </c>
      <c r="K441" s="508" t="s">
        <v>60</v>
      </c>
      <c r="L441" s="508" t="s">
        <v>40</v>
      </c>
      <c r="M441" s="508"/>
      <c r="N441" s="508"/>
      <c r="O441" s="508"/>
      <c r="P441" s="395"/>
      <c r="Q441" s="395"/>
      <c r="R441" s="395"/>
      <c r="S441" s="395"/>
      <c r="T441" s="395"/>
      <c r="U441" s="255" t="s">
        <v>568</v>
      </c>
      <c r="V441" s="551" t="s">
        <v>300</v>
      </c>
      <c r="W441" s="542" t="str">
        <f t="shared" si="583"/>
        <v>CM3_A8+DB NA+</v>
      </c>
      <c r="X441" s="552" t="str">
        <f>I441&amp;TEXT(J441,"0")&amp;"_"&amp;LEFT(Control!$D$23,1)&amp;LEFT(Control!$D$22,LEN(Control!$D$22)-2)</f>
        <v>CM3_A8</v>
      </c>
      <c r="Y441" s="552" t="s">
        <v>433</v>
      </c>
      <c r="Z441" s="552" t="str">
        <f t="shared" si="551"/>
        <v>NA+</v>
      </c>
      <c r="AA441" s="552"/>
      <c r="AB441" s="552">
        <v>1</v>
      </c>
      <c r="AC441" s="552">
        <v>1</v>
      </c>
      <c r="AD441" s="552">
        <v>1</v>
      </c>
      <c r="AE441" s="552">
        <v>1</v>
      </c>
      <c r="AF441" s="552">
        <v>1</v>
      </c>
      <c r="AG441" s="542" t="s">
        <v>561</v>
      </c>
      <c r="AH441" s="552">
        <v>0</v>
      </c>
      <c r="AI441" s="552">
        <v>0</v>
      </c>
      <c r="AJ441" s="552">
        <v>1</v>
      </c>
      <c r="AK441" s="552">
        <v>1</v>
      </c>
      <c r="AL441" s="552">
        <v>1</v>
      </c>
      <c r="AM441" s="552">
        <v>0</v>
      </c>
      <c r="AN441" s="552">
        <v>0</v>
      </c>
      <c r="AO441" s="552">
        <v>1</v>
      </c>
      <c r="AP441" s="552">
        <v>1</v>
      </c>
      <c r="AQ441" s="552">
        <v>1</v>
      </c>
      <c r="AR441" s="552">
        <v>1</v>
      </c>
      <c r="AS441" s="552">
        <v>1</v>
      </c>
      <c r="AT441" s="552">
        <v>1</v>
      </c>
      <c r="AU441" s="552">
        <v>1</v>
      </c>
      <c r="AV441" s="553" t="str">
        <f>IF(H441="YES","'"&amp;INDEX('Structure Groups'!$C$12:$C$14,MATCH('Load Criteria'!$B$5,'Structure Groups'!$B$12:$B$14,0),1)&amp;"'","'All'")</f>
        <v>'GL Max 800m'</v>
      </c>
      <c r="AW441" s="552" t="s">
        <v>562</v>
      </c>
      <c r="AX441" s="552"/>
      <c r="AY441" s="552" t="str">
        <f t="shared" si="552"/>
        <v>Yes</v>
      </c>
      <c r="AZ441" s="554" t="str">
        <f t="shared" si="691"/>
        <v>Back Spans</v>
      </c>
      <c r="BA441" s="554" t="str">
        <f t="shared" si="692"/>
        <v>% Wire Wind Pressure</v>
      </c>
      <c r="BB441" s="552">
        <f t="shared" ref="BB441" si="693">IF(AZ441="","",75)</f>
        <v>75</v>
      </c>
      <c r="BC441" s="554"/>
      <c r="BD441" s="554"/>
      <c r="BE441" s="552"/>
      <c r="BF441" s="554" t="str">
        <f t="shared" si="555"/>
        <v/>
      </c>
      <c r="BG441" s="554" t="str">
        <f t="shared" si="556"/>
        <v/>
      </c>
      <c r="BH441" s="552" t="str">
        <f t="shared" si="557"/>
        <v/>
      </c>
      <c r="BI441" s="554" t="str">
        <f t="shared" si="558"/>
        <v/>
      </c>
      <c r="BJ441" s="554" t="str">
        <f t="shared" si="559"/>
        <v/>
      </c>
      <c r="BK441" s="552" t="str">
        <f t="shared" si="560"/>
        <v/>
      </c>
      <c r="BL441" s="554" t="str">
        <f t="shared" si="561"/>
        <v/>
      </c>
      <c r="BM441" s="554" t="str">
        <f t="shared" si="562"/>
        <v/>
      </c>
      <c r="BN441" s="552" t="str">
        <f t="shared" si="563"/>
        <v/>
      </c>
      <c r="BO441" s="554" t="str">
        <f t="shared" si="564"/>
        <v/>
      </c>
      <c r="BP441" s="554" t="str">
        <f t="shared" si="565"/>
        <v/>
      </c>
      <c r="BQ441" s="552" t="str">
        <f t="shared" si="566"/>
        <v/>
      </c>
      <c r="BR441" s="554"/>
      <c r="BS441" s="554"/>
      <c r="BT441" s="554"/>
      <c r="BU441" s="554"/>
      <c r="BV441" s="554"/>
      <c r="BW441" s="554"/>
      <c r="BX441" s="554"/>
      <c r="BY441" s="554"/>
      <c r="BZ441" s="554"/>
      <c r="CA441" s="554"/>
      <c r="CB441" s="554"/>
      <c r="CC441" s="554"/>
      <c r="CD441" s="554"/>
      <c r="CE441" s="554"/>
      <c r="CF441" s="554"/>
      <c r="CG441" s="554"/>
      <c r="CH441" s="554"/>
      <c r="CI441" s="554"/>
      <c r="CJ441" s="554"/>
      <c r="CK441" s="554"/>
      <c r="CL441" s="554"/>
      <c r="CM441" s="554"/>
      <c r="CN441" s="554"/>
      <c r="CO441" s="554"/>
      <c r="CP441" s="554"/>
      <c r="CQ441" s="554"/>
      <c r="CR441" s="554"/>
      <c r="CS441" s="554"/>
      <c r="CT441" s="554"/>
      <c r="CU441" s="554"/>
      <c r="CV441" s="554"/>
      <c r="CW441" s="554"/>
      <c r="CX441" s="554"/>
      <c r="CY441" s="554"/>
      <c r="CZ441" s="554"/>
      <c r="DA441" s="554"/>
      <c r="DB441" s="554"/>
      <c r="DC441" s="554"/>
      <c r="DD441" s="554"/>
      <c r="DE441" s="534"/>
      <c r="DF441" s="534"/>
      <c r="DG441" s="534"/>
    </row>
    <row r="442" spans="1:111" ht="15" x14ac:dyDescent="0.25">
      <c r="A442" s="549">
        <f>IFERROR(IF(INDEX('Weather Cases'!$E$10:$E$94,MATCH('Load Criteria'!X442,'Weather Cases'!$H$10:$H$94,0),1)=1,1,"-"),"-")</f>
        <v>1</v>
      </c>
      <c r="B442" s="555" t="s">
        <v>558</v>
      </c>
      <c r="C442" s="556" t="str">
        <f>IF('Weather Cases'!$E$40=0,"","DC/SC")</f>
        <v>DC/SC</v>
      </c>
      <c r="D442" s="556" t="s">
        <v>585</v>
      </c>
      <c r="E442" s="556" t="s">
        <v>22</v>
      </c>
      <c r="F442" s="556" t="s">
        <v>22</v>
      </c>
      <c r="G442" s="556" t="str">
        <f>IFERROR(IF(MID('Load Criteria'!X442,FIND("_",'Load Criteria'!X442,1)+1,1)=LEFT(Control!$D$23,1),"YES","-"),"-")</f>
        <v>YES</v>
      </c>
      <c r="H442" s="549" t="str">
        <f>IF(INDEX('Weather Cases'!$G$10:$G$94,MATCH('Load Criteria'!X442,'Weather Cases'!$H$10:$H$94,0),1)="H","YES","-")</f>
        <v>YES</v>
      </c>
      <c r="I442" s="557" t="s">
        <v>585</v>
      </c>
      <c r="J442" s="508">
        <v>3</v>
      </c>
      <c r="K442" s="508" t="s">
        <v>88</v>
      </c>
      <c r="L442" s="508"/>
      <c r="M442" s="508"/>
      <c r="N442" s="508"/>
      <c r="O442" s="508"/>
      <c r="P442" s="395"/>
      <c r="Q442" s="395"/>
      <c r="R442" s="395"/>
      <c r="S442" s="395"/>
      <c r="T442" s="395"/>
      <c r="U442" s="255" t="s">
        <v>574</v>
      </c>
      <c r="V442" s="551" t="s">
        <v>300</v>
      </c>
      <c r="W442" s="542" t="str">
        <f t="shared" si="583"/>
        <v>CM3_A8+E NA-</v>
      </c>
      <c r="X442" s="552" t="str">
        <f>I442&amp;TEXT(J442,"0")&amp;"_"&amp;LEFT(Control!$D$23,1)&amp;LEFT(Control!$D$22,LEN(Control!$D$22)-2)</f>
        <v>CM3_A8</v>
      </c>
      <c r="Y442" s="552" t="s">
        <v>433</v>
      </c>
      <c r="Z442" s="552" t="str">
        <f t="shared" si="551"/>
        <v>NA-</v>
      </c>
      <c r="AA442" s="552"/>
      <c r="AB442" s="552">
        <v>1</v>
      </c>
      <c r="AC442" s="552">
        <v>1</v>
      </c>
      <c r="AD442" s="552">
        <v>1</v>
      </c>
      <c r="AE442" s="552">
        <v>1</v>
      </c>
      <c r="AF442" s="552">
        <v>1</v>
      </c>
      <c r="AG442" s="542" t="s">
        <v>561</v>
      </c>
      <c r="AH442" s="552">
        <v>0</v>
      </c>
      <c r="AI442" s="552">
        <v>0</v>
      </c>
      <c r="AJ442" s="552">
        <v>1</v>
      </c>
      <c r="AK442" s="552">
        <v>1</v>
      </c>
      <c r="AL442" s="552">
        <v>1</v>
      </c>
      <c r="AM442" s="552">
        <v>0</v>
      </c>
      <c r="AN442" s="552">
        <v>0</v>
      </c>
      <c r="AO442" s="552">
        <v>1</v>
      </c>
      <c r="AP442" s="552">
        <v>1</v>
      </c>
      <c r="AQ442" s="552">
        <v>1</v>
      </c>
      <c r="AR442" s="552">
        <v>1</v>
      </c>
      <c r="AS442" s="552">
        <v>1</v>
      </c>
      <c r="AT442" s="552">
        <v>1</v>
      </c>
      <c r="AU442" s="552">
        <v>1</v>
      </c>
      <c r="AV442" s="553" t="str">
        <f>IF(H442="YES","'"&amp;INDEX('Structure Groups'!$C$12:$C$14,MATCH('Load Criteria'!$B$5,'Structure Groups'!$B$12:$B$14,0),1)&amp;"'","'All'")</f>
        <v>'GL Max 800m'</v>
      </c>
      <c r="AW442" s="552" t="s">
        <v>562</v>
      </c>
      <c r="AX442" s="552"/>
      <c r="AY442" s="552" t="str">
        <f t="shared" si="552"/>
        <v>No</v>
      </c>
      <c r="AZ442" s="554" t="str">
        <f t="shared" si="553"/>
        <v/>
      </c>
      <c r="BA442" s="554" t="str">
        <f t="shared" si="554"/>
        <v/>
      </c>
      <c r="BB442" s="552"/>
      <c r="BC442" s="554"/>
      <c r="BD442" s="554"/>
      <c r="BE442" s="552"/>
      <c r="BF442" s="554" t="str">
        <f t="shared" si="555"/>
        <v/>
      </c>
      <c r="BG442" s="554" t="str">
        <f t="shared" si="556"/>
        <v/>
      </c>
      <c r="BH442" s="552" t="str">
        <f t="shared" si="557"/>
        <v/>
      </c>
      <c r="BI442" s="554" t="str">
        <f t="shared" si="558"/>
        <v/>
      </c>
      <c r="BJ442" s="554" t="str">
        <f t="shared" si="559"/>
        <v/>
      </c>
      <c r="BK442" s="552" t="str">
        <f t="shared" si="560"/>
        <v/>
      </c>
      <c r="BL442" s="554" t="str">
        <f t="shared" si="561"/>
        <v/>
      </c>
      <c r="BM442" s="554" t="str">
        <f t="shared" si="562"/>
        <v/>
      </c>
      <c r="BN442" s="552" t="str">
        <f t="shared" si="563"/>
        <v/>
      </c>
      <c r="BO442" s="554" t="str">
        <f t="shared" si="564"/>
        <v/>
      </c>
      <c r="BP442" s="554" t="str">
        <f t="shared" si="565"/>
        <v/>
      </c>
      <c r="BQ442" s="552" t="str">
        <f t="shared" si="566"/>
        <v/>
      </c>
      <c r="BR442" s="554"/>
      <c r="BS442" s="554"/>
      <c r="BT442" s="554"/>
      <c r="BU442" s="554"/>
      <c r="BV442" s="554"/>
      <c r="BW442" s="554"/>
      <c r="BX442" s="554"/>
      <c r="BY442" s="554"/>
      <c r="BZ442" s="554"/>
      <c r="CA442" s="554"/>
      <c r="CB442" s="554"/>
      <c r="CC442" s="554"/>
      <c r="CD442" s="554"/>
      <c r="CE442" s="554"/>
      <c r="CF442" s="554"/>
      <c r="CG442" s="554"/>
      <c r="CH442" s="554"/>
      <c r="CI442" s="554"/>
      <c r="CJ442" s="554"/>
      <c r="CK442" s="554"/>
      <c r="CL442" s="554"/>
      <c r="CM442" s="554"/>
      <c r="CN442" s="554"/>
      <c r="CO442" s="554"/>
      <c r="CP442" s="554"/>
      <c r="CQ442" s="554"/>
      <c r="CR442" s="554"/>
      <c r="CS442" s="554"/>
      <c r="CT442" s="554"/>
      <c r="CU442" s="554"/>
      <c r="CV442" s="554"/>
      <c r="CW442" s="554"/>
      <c r="CX442" s="554"/>
      <c r="CY442" s="554"/>
      <c r="CZ442" s="554"/>
      <c r="DA442" s="554"/>
      <c r="DB442" s="554"/>
      <c r="DC442" s="554"/>
      <c r="DD442" s="554"/>
      <c r="DE442" s="534"/>
      <c r="DF442" s="534"/>
      <c r="DG442" s="534"/>
    </row>
    <row r="443" spans="1:111" ht="15" x14ac:dyDescent="0.25">
      <c r="A443" s="549">
        <f>IFERROR(IF(INDEX('Weather Cases'!$E$10:$E$94,MATCH('Load Criteria'!X443,'Weather Cases'!$H$10:$H$94,0),1)=1,1,"-"),"-")</f>
        <v>1</v>
      </c>
      <c r="B443" s="555" t="s">
        <v>558</v>
      </c>
      <c r="C443" s="556" t="str">
        <f>IF('Weather Cases'!$E$40=0,"","DC/SC")</f>
        <v>DC/SC</v>
      </c>
      <c r="D443" s="556" t="s">
        <v>585</v>
      </c>
      <c r="E443" s="556" t="s">
        <v>22</v>
      </c>
      <c r="F443" s="556" t="s">
        <v>22</v>
      </c>
      <c r="G443" s="556" t="str">
        <f>IFERROR(IF(MID('Load Criteria'!X443,FIND("_",'Load Criteria'!X443,1)+1,1)=LEFT(Control!$D$23,1),"YES","-"),"-")</f>
        <v>YES</v>
      </c>
      <c r="H443" s="549" t="str">
        <f>IF(INDEX('Weather Cases'!$G$10:$G$94,MATCH('Load Criteria'!X443,'Weather Cases'!$H$10:$H$94,0),1)="H","YES","-")</f>
        <v>YES</v>
      </c>
      <c r="I443" s="557" t="s">
        <v>585</v>
      </c>
      <c r="J443" s="508">
        <v>3</v>
      </c>
      <c r="K443" s="508" t="s">
        <v>60</v>
      </c>
      <c r="L443" s="508" t="s">
        <v>24</v>
      </c>
      <c r="M443" s="508"/>
      <c r="N443" s="508"/>
      <c r="O443" s="508"/>
      <c r="P443" s="395"/>
      <c r="Q443" s="395"/>
      <c r="R443" s="395"/>
      <c r="S443" s="395"/>
      <c r="T443" s="395"/>
      <c r="U443" s="255" t="s">
        <v>574</v>
      </c>
      <c r="V443" s="551" t="s">
        <v>300</v>
      </c>
      <c r="W443" s="542" t="str">
        <f t="shared" ref="W443:W444" si="694">X443&amp;"+"&amp;K443&amp;IF(L443="","",CONCATENATE(L443,M443,N443,O443))&amp;" "&amp;U443</f>
        <v>CM3_A8+DA NA-</v>
      </c>
      <c r="X443" s="552" t="str">
        <f>I443&amp;TEXT(J443,"0")&amp;"_"&amp;LEFT(Control!$D$23,1)&amp;LEFT(Control!$D$22,LEN(Control!$D$22)-2)</f>
        <v>CM3_A8</v>
      </c>
      <c r="Y443" s="552" t="s">
        <v>433</v>
      </c>
      <c r="Z443" s="552" t="str">
        <f t="shared" ref="Z443:Z456" si="695">U443</f>
        <v>NA-</v>
      </c>
      <c r="AA443" s="552"/>
      <c r="AB443" s="552">
        <v>1</v>
      </c>
      <c r="AC443" s="552">
        <v>1</v>
      </c>
      <c r="AD443" s="552">
        <v>1</v>
      </c>
      <c r="AE443" s="552">
        <v>1</v>
      </c>
      <c r="AF443" s="552">
        <v>1</v>
      </c>
      <c r="AG443" s="542" t="s">
        <v>561</v>
      </c>
      <c r="AH443" s="552">
        <v>0</v>
      </c>
      <c r="AI443" s="552">
        <v>0</v>
      </c>
      <c r="AJ443" s="552">
        <v>1</v>
      </c>
      <c r="AK443" s="552">
        <v>1</v>
      </c>
      <c r="AL443" s="552">
        <v>1</v>
      </c>
      <c r="AM443" s="552">
        <v>0</v>
      </c>
      <c r="AN443" s="552">
        <v>0</v>
      </c>
      <c r="AO443" s="552">
        <v>1</v>
      </c>
      <c r="AP443" s="552">
        <v>1</v>
      </c>
      <c r="AQ443" s="552">
        <v>1</v>
      </c>
      <c r="AR443" s="552">
        <v>1</v>
      </c>
      <c r="AS443" s="552">
        <v>1</v>
      </c>
      <c r="AT443" s="552">
        <v>1</v>
      </c>
      <c r="AU443" s="552">
        <v>1</v>
      </c>
      <c r="AV443" s="553" t="str">
        <f>IF(H443="YES","'"&amp;INDEX('Structure Groups'!$C$12:$C$14,MATCH('Load Criteria'!$B$5,'Structure Groups'!$B$12:$B$14,0),1)&amp;"'","'All'")</f>
        <v>'GL Max 800m'</v>
      </c>
      <c r="AW443" s="552" t="s">
        <v>562</v>
      </c>
      <c r="AX443" s="552"/>
      <c r="AY443" s="552" t="str">
        <f t="shared" ref="AY443:AY456" si="696">IF(L443="","No","Yes")</f>
        <v>Yes</v>
      </c>
      <c r="AZ443" s="554" t="str">
        <f t="shared" ref="AZ443:AZ445" si="697">IF(AY443="No","",IF(L443="A","Ahead Spans","Back Spans"))</f>
        <v>Ahead Spans</v>
      </c>
      <c r="BA443" s="554" t="str">
        <f t="shared" ref="BA443:BA445" si="698">IF(AZ443="","","% Wire Wind Pressure")</f>
        <v>% Wire Wind Pressure</v>
      </c>
      <c r="BB443" s="552">
        <f>IF(AZ443="","",75)</f>
        <v>75</v>
      </c>
      <c r="BC443" s="554"/>
      <c r="BD443" s="554"/>
      <c r="BE443" s="552"/>
      <c r="BF443" s="554" t="str">
        <f t="shared" si="555"/>
        <v/>
      </c>
      <c r="BG443" s="554" t="str">
        <f t="shared" ref="BG443:BG450" si="699">IF(BF443="","","% Wire Ice")</f>
        <v/>
      </c>
      <c r="BH443" s="552" t="str">
        <f t="shared" ref="BH443:BH450" si="700">IF(BF443="","",40)</f>
        <v/>
      </c>
      <c r="BI443" s="554" t="str">
        <f t="shared" si="558"/>
        <v/>
      </c>
      <c r="BJ443" s="554" t="str">
        <f t="shared" ref="BJ443:BJ450" si="701">IF(BI443="","","% Wire Ice")</f>
        <v/>
      </c>
      <c r="BK443" s="552" t="str">
        <f t="shared" ref="BK443:BK450" si="702">IF(BH443="","",70)</f>
        <v/>
      </c>
      <c r="BL443" s="554" t="str">
        <f t="shared" si="561"/>
        <v/>
      </c>
      <c r="BM443" s="554" t="str">
        <f t="shared" ref="BM443:BM450" si="703">IF(BL443="","","% Wire Ice")</f>
        <v/>
      </c>
      <c r="BN443" s="552" t="str">
        <f t="shared" ref="BN443:BN450" si="704">IF(BL443="","",40)</f>
        <v/>
      </c>
      <c r="BO443" s="554" t="str">
        <f t="shared" si="564"/>
        <v/>
      </c>
      <c r="BP443" s="554" t="str">
        <f t="shared" ref="BP443:BP450" si="705">IF(BO443="","","% Wire Ice")</f>
        <v/>
      </c>
      <c r="BQ443" s="552" t="str">
        <f t="shared" ref="BQ443:BQ450" si="706">IF(BN443="","",70)</f>
        <v/>
      </c>
      <c r="BR443" s="554"/>
      <c r="BS443" s="554"/>
      <c r="BT443" s="554"/>
      <c r="BU443" s="554"/>
      <c r="BV443" s="554"/>
      <c r="BW443" s="554"/>
      <c r="BX443" s="554"/>
      <c r="BY443" s="554"/>
      <c r="BZ443" s="554"/>
      <c r="CA443" s="554"/>
      <c r="CB443" s="554"/>
      <c r="CC443" s="554"/>
      <c r="CD443" s="554"/>
      <c r="CE443" s="554"/>
      <c r="CF443" s="554"/>
      <c r="CG443" s="554"/>
      <c r="CH443" s="554"/>
      <c r="CI443" s="554"/>
      <c r="CJ443" s="554"/>
      <c r="CK443" s="554"/>
      <c r="CL443" s="554"/>
      <c r="CM443" s="554"/>
      <c r="CN443" s="554"/>
      <c r="CO443" s="554"/>
      <c r="CP443" s="554"/>
      <c r="CQ443" s="554"/>
      <c r="CR443" s="554"/>
      <c r="CS443" s="554"/>
      <c r="CT443" s="554"/>
      <c r="CU443" s="554"/>
      <c r="CV443" s="554"/>
      <c r="CW443" s="554"/>
      <c r="CX443" s="554"/>
      <c r="CY443" s="554"/>
      <c r="CZ443" s="554"/>
      <c r="DA443" s="554"/>
      <c r="DB443" s="554"/>
      <c r="DC443" s="554"/>
      <c r="DD443" s="554"/>
      <c r="DE443" s="534"/>
      <c r="DF443" s="534"/>
      <c r="DG443" s="534"/>
    </row>
    <row r="444" spans="1:111" ht="15" x14ac:dyDescent="0.25">
      <c r="A444" s="549">
        <f>IFERROR(IF(INDEX('Weather Cases'!$E$10:$E$94,MATCH('Load Criteria'!X444,'Weather Cases'!$H$10:$H$94,0),1)=1,1,"-"),"-")</f>
        <v>1</v>
      </c>
      <c r="B444" s="555" t="s">
        <v>558</v>
      </c>
      <c r="C444" s="556" t="str">
        <f>IF('Weather Cases'!$E$40=0,"","DC/SC")</f>
        <v>DC/SC</v>
      </c>
      <c r="D444" s="556" t="s">
        <v>585</v>
      </c>
      <c r="E444" s="556" t="s">
        <v>22</v>
      </c>
      <c r="F444" s="556" t="s">
        <v>22</v>
      </c>
      <c r="G444" s="556" t="str">
        <f>IFERROR(IF(MID('Load Criteria'!X444,FIND("_",'Load Criteria'!X444,1)+1,1)=LEFT(Control!$D$23,1),"YES","-"),"-")</f>
        <v>YES</v>
      </c>
      <c r="H444" s="549" t="str">
        <f>IF(INDEX('Weather Cases'!$G$10:$G$94,MATCH('Load Criteria'!X444,'Weather Cases'!$H$10:$H$94,0),1)="H","YES","-")</f>
        <v>YES</v>
      </c>
      <c r="I444" s="557" t="s">
        <v>585</v>
      </c>
      <c r="J444" s="508">
        <v>3</v>
      </c>
      <c r="K444" s="508" t="s">
        <v>60</v>
      </c>
      <c r="L444" s="508" t="s">
        <v>40</v>
      </c>
      <c r="M444" s="508"/>
      <c r="N444" s="508"/>
      <c r="O444" s="508"/>
      <c r="P444" s="395"/>
      <c r="Q444" s="395"/>
      <c r="R444" s="395"/>
      <c r="S444" s="395"/>
      <c r="T444" s="395"/>
      <c r="U444" s="255" t="s">
        <v>574</v>
      </c>
      <c r="V444" s="551" t="s">
        <v>300</v>
      </c>
      <c r="W444" s="542" t="str">
        <f t="shared" si="694"/>
        <v>CM3_A8+DB NA-</v>
      </c>
      <c r="X444" s="552" t="str">
        <f>I444&amp;TEXT(J444,"0")&amp;"_"&amp;LEFT(Control!$D$23,1)&amp;LEFT(Control!$D$22,LEN(Control!$D$22)-2)</f>
        <v>CM3_A8</v>
      </c>
      <c r="Y444" s="552" t="s">
        <v>433</v>
      </c>
      <c r="Z444" s="552" t="str">
        <f t="shared" si="695"/>
        <v>NA-</v>
      </c>
      <c r="AA444" s="552"/>
      <c r="AB444" s="552">
        <v>1</v>
      </c>
      <c r="AC444" s="552">
        <v>1</v>
      </c>
      <c r="AD444" s="552">
        <v>1</v>
      </c>
      <c r="AE444" s="552">
        <v>1</v>
      </c>
      <c r="AF444" s="552">
        <v>1</v>
      </c>
      <c r="AG444" s="542" t="s">
        <v>561</v>
      </c>
      <c r="AH444" s="552">
        <v>0</v>
      </c>
      <c r="AI444" s="552">
        <v>0</v>
      </c>
      <c r="AJ444" s="552">
        <v>1</v>
      </c>
      <c r="AK444" s="552">
        <v>1</v>
      </c>
      <c r="AL444" s="552">
        <v>1</v>
      </c>
      <c r="AM444" s="552">
        <v>0</v>
      </c>
      <c r="AN444" s="552">
        <v>0</v>
      </c>
      <c r="AO444" s="552">
        <v>1</v>
      </c>
      <c r="AP444" s="552">
        <v>1</v>
      </c>
      <c r="AQ444" s="552">
        <v>1</v>
      </c>
      <c r="AR444" s="552">
        <v>1</v>
      </c>
      <c r="AS444" s="552">
        <v>1</v>
      </c>
      <c r="AT444" s="552">
        <v>1</v>
      </c>
      <c r="AU444" s="552">
        <v>1</v>
      </c>
      <c r="AV444" s="553" t="str">
        <f>IF(H444="YES","'"&amp;INDEX('Structure Groups'!$C$12:$C$14,MATCH('Load Criteria'!$B$5,'Structure Groups'!$B$12:$B$14,0),1)&amp;"'","'All'")</f>
        <v>'GL Max 800m'</v>
      </c>
      <c r="AW444" s="552" t="s">
        <v>562</v>
      </c>
      <c r="AX444" s="552"/>
      <c r="AY444" s="552" t="str">
        <f t="shared" si="696"/>
        <v>Yes</v>
      </c>
      <c r="AZ444" s="554" t="str">
        <f t="shared" si="697"/>
        <v>Back Spans</v>
      </c>
      <c r="BA444" s="554" t="str">
        <f t="shared" si="698"/>
        <v>% Wire Wind Pressure</v>
      </c>
      <c r="BB444" s="552">
        <f t="shared" ref="BB444:BB445" si="707">IF(AZ444="","",75)</f>
        <v>75</v>
      </c>
      <c r="BC444" s="554"/>
      <c r="BD444" s="554"/>
      <c r="BE444" s="552"/>
      <c r="BF444" s="554" t="str">
        <f t="shared" si="555"/>
        <v/>
      </c>
      <c r="BG444" s="554" t="str">
        <f t="shared" si="699"/>
        <v/>
      </c>
      <c r="BH444" s="552" t="str">
        <f t="shared" si="700"/>
        <v/>
      </c>
      <c r="BI444" s="554" t="str">
        <f t="shared" si="558"/>
        <v/>
      </c>
      <c r="BJ444" s="554" t="str">
        <f t="shared" si="701"/>
        <v/>
      </c>
      <c r="BK444" s="552" t="str">
        <f t="shared" si="702"/>
        <v/>
      </c>
      <c r="BL444" s="554" t="str">
        <f t="shared" si="561"/>
        <v/>
      </c>
      <c r="BM444" s="554" t="str">
        <f t="shared" si="703"/>
        <v/>
      </c>
      <c r="BN444" s="552" t="str">
        <f t="shared" si="704"/>
        <v/>
      </c>
      <c r="BO444" s="554" t="str">
        <f t="shared" si="564"/>
        <v/>
      </c>
      <c r="BP444" s="554" t="str">
        <f t="shared" si="705"/>
        <v/>
      </c>
      <c r="BQ444" s="552" t="str">
        <f t="shared" si="706"/>
        <v/>
      </c>
      <c r="BR444" s="554"/>
      <c r="BS444" s="554"/>
      <c r="BT444" s="554"/>
      <c r="BU444" s="554"/>
      <c r="BV444" s="554"/>
      <c r="BW444" s="554"/>
      <c r="BX444" s="554"/>
      <c r="BY444" s="554"/>
      <c r="BZ444" s="554"/>
      <c r="CA444" s="554"/>
      <c r="CB444" s="554"/>
      <c r="CC444" s="554"/>
      <c r="CD444" s="554"/>
      <c r="CE444" s="554"/>
      <c r="CF444" s="554"/>
      <c r="CG444" s="554"/>
      <c r="CH444" s="554"/>
      <c r="CI444" s="554"/>
      <c r="CJ444" s="554"/>
      <c r="CK444" s="554"/>
      <c r="CL444" s="554"/>
      <c r="CM444" s="554"/>
      <c r="CN444" s="554"/>
      <c r="CO444" s="554"/>
      <c r="CP444" s="554"/>
      <c r="CQ444" s="554"/>
      <c r="CR444" s="554"/>
      <c r="CS444" s="554"/>
      <c r="CT444" s="554"/>
      <c r="CU444" s="554"/>
      <c r="CV444" s="554"/>
      <c r="CW444" s="554"/>
      <c r="CX444" s="554"/>
      <c r="CY444" s="554"/>
      <c r="CZ444" s="554"/>
      <c r="DA444" s="554"/>
      <c r="DB444" s="554"/>
      <c r="DC444" s="554"/>
      <c r="DD444" s="554"/>
      <c r="DE444" s="534"/>
      <c r="DF444" s="534"/>
      <c r="DG444" s="534"/>
    </row>
    <row r="445" spans="1:111" ht="15" x14ac:dyDescent="0.25">
      <c r="A445" s="549">
        <f>IFERROR(IF(INDEX('Weather Cases'!$E$10:$E$94,MATCH('Load Criteria'!X445,'Weather Cases'!$H$10:$H$94,0),1)=1,1,"-"),"-")</f>
        <v>1</v>
      </c>
      <c r="B445" s="555" t="s">
        <v>558</v>
      </c>
      <c r="C445" s="556" t="str">
        <f>IF('Weather Cases'!$E$40=0,"","DC/SC")</f>
        <v>DC/SC</v>
      </c>
      <c r="D445" s="556" t="s">
        <v>585</v>
      </c>
      <c r="E445" s="556" t="s">
        <v>22</v>
      </c>
      <c r="F445" s="556" t="s">
        <v>22</v>
      </c>
      <c r="G445" s="556" t="str">
        <f>IFERROR(IF(MID('Load Criteria'!X445,FIND("_",'Load Criteria'!X445,1)+1,1)=LEFT(Control!$D$23,1),"YES","-"),"-")</f>
        <v>-</v>
      </c>
      <c r="H445" s="549" t="str">
        <f>IF(INDEX('Weather Cases'!$G$10:$G$94,MATCH('Load Criteria'!X445,'Weather Cases'!$H$10:$H$94,0),1)="H","YES","-")</f>
        <v>YES</v>
      </c>
      <c r="I445" s="557" t="s">
        <v>585</v>
      </c>
      <c r="J445" s="508" t="s">
        <v>588</v>
      </c>
      <c r="K445" s="508" t="s">
        <v>88</v>
      </c>
      <c r="L445" s="508"/>
      <c r="M445" s="508"/>
      <c r="N445" s="508"/>
      <c r="O445" s="508"/>
      <c r="P445" s="395"/>
      <c r="Q445" s="395"/>
      <c r="R445" s="395"/>
      <c r="S445" s="395"/>
      <c r="T445" s="395"/>
      <c r="U445" s="255" t="s">
        <v>568</v>
      </c>
      <c r="V445" s="551" t="s">
        <v>300</v>
      </c>
      <c r="W445" s="588" t="str">
        <f>X445&amp;"+"&amp;K445&amp;IF(L445="","",CONCATENATE(L445,M445,N445,O445))&amp;" "&amp;U445</f>
        <v>CM3S_8+E NA+</v>
      </c>
      <c r="X445" s="552" t="str">
        <f>I445&amp;TEXT(J445,"0000")&amp;"_"&amp;LEFT(Control!$D$22,LEN(Control!$D$22)-2)</f>
        <v>CM3S_8</v>
      </c>
      <c r="Y445" s="552" t="s">
        <v>433</v>
      </c>
      <c r="Z445" s="552" t="str">
        <f t="shared" ref="Z445" si="708">U445</f>
        <v>NA+</v>
      </c>
      <c r="AA445" s="552"/>
      <c r="AB445" s="552">
        <v>1</v>
      </c>
      <c r="AC445" s="552">
        <v>1</v>
      </c>
      <c r="AD445" s="552">
        <v>1</v>
      </c>
      <c r="AE445" s="552">
        <v>1</v>
      </c>
      <c r="AF445" s="552">
        <v>1</v>
      </c>
      <c r="AG445" s="542" t="s">
        <v>561</v>
      </c>
      <c r="AH445" s="552">
        <v>0</v>
      </c>
      <c r="AI445" s="552">
        <v>0</v>
      </c>
      <c r="AJ445" s="552">
        <v>1</v>
      </c>
      <c r="AK445" s="552">
        <v>1</v>
      </c>
      <c r="AL445" s="552">
        <v>1</v>
      </c>
      <c r="AM445" s="552">
        <v>0</v>
      </c>
      <c r="AN445" s="552">
        <v>0</v>
      </c>
      <c r="AO445" s="552">
        <v>1</v>
      </c>
      <c r="AP445" s="552">
        <v>1</v>
      </c>
      <c r="AQ445" s="552">
        <v>1</v>
      </c>
      <c r="AR445" s="552">
        <v>1</v>
      </c>
      <c r="AS445" s="552">
        <v>1</v>
      </c>
      <c r="AT445" s="552">
        <v>1</v>
      </c>
      <c r="AU445" s="552">
        <v>1</v>
      </c>
      <c r="AV445" s="553" t="str">
        <f>IF(H445="YES","'"&amp;INDEX('Structure Groups'!$C$12:$C$14,MATCH('Load Criteria'!$B$5,'Structure Groups'!$B$12:$B$14,0),1)&amp;"'","'All'")</f>
        <v>'GL Max 800m'</v>
      </c>
      <c r="AW445" s="552" t="s">
        <v>562</v>
      </c>
      <c r="AX445" s="552"/>
      <c r="AY445" s="552" t="str">
        <f t="shared" ref="AY445" si="709">IF(L445="","No","Yes")</f>
        <v>No</v>
      </c>
      <c r="AZ445" s="554" t="str">
        <f t="shared" si="697"/>
        <v/>
      </c>
      <c r="BA445" s="554" t="str">
        <f t="shared" si="698"/>
        <v/>
      </c>
      <c r="BB445" s="552" t="str">
        <f t="shared" si="707"/>
        <v/>
      </c>
      <c r="BC445" s="554"/>
      <c r="BD445" s="554"/>
      <c r="BE445" s="552"/>
      <c r="BF445" s="554" t="str">
        <f t="shared" si="555"/>
        <v/>
      </c>
      <c r="BG445" s="554" t="str">
        <f t="shared" ref="BG445" si="710">IF(BF445="","","% Wire Ice")</f>
        <v/>
      </c>
      <c r="BH445" s="552" t="str">
        <f t="shared" ref="BH445" si="711">IF(BF445="","",40)</f>
        <v/>
      </c>
      <c r="BI445" s="554" t="str">
        <f t="shared" si="558"/>
        <v/>
      </c>
      <c r="BJ445" s="554" t="str">
        <f t="shared" ref="BJ445" si="712">IF(BI445="","","% Wire Ice")</f>
        <v/>
      </c>
      <c r="BK445" s="552" t="str">
        <f t="shared" ref="BK445" si="713">IF(BH445="","",70)</f>
        <v/>
      </c>
      <c r="BL445" s="554" t="str">
        <f t="shared" si="561"/>
        <v/>
      </c>
      <c r="BM445" s="554" t="str">
        <f t="shared" ref="BM445" si="714">IF(BL445="","","% Wire Ice")</f>
        <v/>
      </c>
      <c r="BN445" s="552" t="str">
        <f t="shared" ref="BN445" si="715">IF(BL445="","",40)</f>
        <v/>
      </c>
      <c r="BO445" s="554" t="str">
        <f t="shared" si="564"/>
        <v/>
      </c>
      <c r="BP445" s="554" t="str">
        <f t="shared" ref="BP445" si="716">IF(BO445="","","% Wire Ice")</f>
        <v/>
      </c>
      <c r="BQ445" s="552" t="str">
        <f t="shared" ref="BQ445" si="717">IF(BN445="","",70)</f>
        <v/>
      </c>
      <c r="BR445" s="554"/>
      <c r="BS445" s="554"/>
      <c r="BT445" s="554"/>
      <c r="BU445" s="554"/>
      <c r="BV445" s="554"/>
      <c r="BW445" s="554"/>
      <c r="BX445" s="554"/>
      <c r="BY445" s="554"/>
      <c r="BZ445" s="554"/>
      <c r="CA445" s="554"/>
      <c r="CB445" s="554"/>
      <c r="CC445" s="554"/>
      <c r="CD445" s="554"/>
      <c r="CE445" s="554"/>
      <c r="CF445" s="554"/>
      <c r="CG445" s="554"/>
      <c r="CH445" s="554"/>
      <c r="CI445" s="554"/>
      <c r="CJ445" s="554"/>
      <c r="CK445" s="554"/>
      <c r="CL445" s="554"/>
      <c r="CM445" s="554"/>
      <c r="CN445" s="554"/>
      <c r="CO445" s="554"/>
      <c r="CP445" s="554"/>
      <c r="CQ445" s="554"/>
      <c r="CR445" s="554"/>
      <c r="CS445" s="554"/>
      <c r="CT445" s="554"/>
      <c r="CU445" s="554"/>
      <c r="CV445" s="554"/>
      <c r="CW445" s="554"/>
      <c r="CX445" s="554"/>
      <c r="CY445" s="554"/>
      <c r="CZ445" s="554"/>
      <c r="DA445" s="554"/>
      <c r="DB445" s="554"/>
      <c r="DC445" s="554"/>
      <c r="DD445" s="554"/>
      <c r="DE445" s="534"/>
      <c r="DF445" s="534"/>
      <c r="DG445" s="534"/>
    </row>
    <row r="446" spans="1:111" ht="15" x14ac:dyDescent="0.25">
      <c r="A446" s="549">
        <f>IFERROR(IF(INDEX('Weather Cases'!$E$10:$E$94,MATCH('Load Criteria'!X446,'Weather Cases'!$H$10:$H$94,0),1)=1,1,"-"),"-")</f>
        <v>1</v>
      </c>
      <c r="B446" s="555" t="s">
        <v>558</v>
      </c>
      <c r="C446" s="556" t="str">
        <f>IF('Weather Cases'!$E$40=0,"","DC/SC")</f>
        <v>DC/SC</v>
      </c>
      <c r="D446" s="556" t="s">
        <v>585</v>
      </c>
      <c r="E446" s="556" t="s">
        <v>22</v>
      </c>
      <c r="F446" s="556" t="s">
        <v>22</v>
      </c>
      <c r="G446" s="556" t="str">
        <f>IFERROR(IF(MID('Load Criteria'!X446,FIND("_",'Load Criteria'!X446,1)+1,1)=LEFT(Control!$D$23,1),"YES","-"),"-")</f>
        <v>-</v>
      </c>
      <c r="H446" s="549" t="str">
        <f>IF(INDEX('Weather Cases'!$G$10:$G$94,MATCH('Load Criteria'!X446,'Weather Cases'!$H$10:$H$94,0),1)="H","YES","-")</f>
        <v>YES</v>
      </c>
      <c r="I446" s="557" t="s">
        <v>585</v>
      </c>
      <c r="J446" s="508" t="s">
        <v>588</v>
      </c>
      <c r="K446" s="508" t="s">
        <v>88</v>
      </c>
      <c r="L446" s="508"/>
      <c r="M446" s="508"/>
      <c r="N446" s="508"/>
      <c r="O446" s="508"/>
      <c r="P446" s="395"/>
      <c r="Q446" s="395"/>
      <c r="R446" s="395"/>
      <c r="S446" s="395"/>
      <c r="T446" s="395"/>
      <c r="U446" s="255" t="s">
        <v>574</v>
      </c>
      <c r="V446" s="551" t="s">
        <v>300</v>
      </c>
      <c r="W446" s="542" t="str">
        <f>X446&amp;"+"&amp;K446&amp;IF(L446="","",CONCATENATE(L446,M446,N446,O446))&amp;" "&amp;U446</f>
        <v>CM3S_8+E NA-</v>
      </c>
      <c r="X446" s="552" t="str">
        <f>I446&amp;TEXT(J446,"0000")&amp;"_"&amp;LEFT(Control!$D$22,LEN(Control!$D$22)-2)</f>
        <v>CM3S_8</v>
      </c>
      <c r="Y446" s="552" t="s">
        <v>433</v>
      </c>
      <c r="Z446" s="552" t="str">
        <f t="shared" si="695"/>
        <v>NA-</v>
      </c>
      <c r="AA446" s="552"/>
      <c r="AB446" s="552">
        <v>1</v>
      </c>
      <c r="AC446" s="552">
        <v>1</v>
      </c>
      <c r="AD446" s="552">
        <v>1</v>
      </c>
      <c r="AE446" s="552">
        <v>1</v>
      </c>
      <c r="AF446" s="552">
        <v>1</v>
      </c>
      <c r="AG446" s="542" t="s">
        <v>561</v>
      </c>
      <c r="AH446" s="552">
        <v>0</v>
      </c>
      <c r="AI446" s="552">
        <v>0</v>
      </c>
      <c r="AJ446" s="552">
        <v>1</v>
      </c>
      <c r="AK446" s="552">
        <v>1</v>
      </c>
      <c r="AL446" s="552">
        <v>1</v>
      </c>
      <c r="AM446" s="552">
        <v>0</v>
      </c>
      <c r="AN446" s="552">
        <v>0</v>
      </c>
      <c r="AO446" s="552">
        <v>1</v>
      </c>
      <c r="AP446" s="552">
        <v>1</v>
      </c>
      <c r="AQ446" s="552">
        <v>1</v>
      </c>
      <c r="AR446" s="552">
        <v>1</v>
      </c>
      <c r="AS446" s="552">
        <v>1</v>
      </c>
      <c r="AT446" s="552">
        <v>1</v>
      </c>
      <c r="AU446" s="552">
        <v>1</v>
      </c>
      <c r="AV446" s="553" t="str">
        <f>IF(H446="YES","'"&amp;INDEX('Structure Groups'!$C$12:$C$14,MATCH('Load Criteria'!$B$5,'Structure Groups'!$B$12:$B$14,0),1)&amp;"'","'All'")</f>
        <v>'GL Max 800m'</v>
      </c>
      <c r="AW446" s="552" t="s">
        <v>562</v>
      </c>
      <c r="AX446" s="552"/>
      <c r="AY446" s="552" t="str">
        <f t="shared" si="696"/>
        <v>No</v>
      </c>
      <c r="AZ446" s="554" t="str">
        <f t="shared" ref="AZ446" si="718">IF(AY446="No","",IF(L446="A","Ahead Spans","Back Spans"))</f>
        <v/>
      </c>
      <c r="BA446" s="554" t="str">
        <f t="shared" ref="BA446" si="719">IF(AZ446="","","% Wire Wind Pressure")</f>
        <v/>
      </c>
      <c r="BB446" s="552" t="str">
        <f t="shared" ref="BB446" si="720">IF(AZ446="","",75)</f>
        <v/>
      </c>
      <c r="BC446" s="554"/>
      <c r="BD446" s="554"/>
      <c r="BE446" s="552"/>
      <c r="BF446" s="554" t="str">
        <f t="shared" si="555"/>
        <v/>
      </c>
      <c r="BG446" s="554" t="str">
        <f t="shared" si="699"/>
        <v/>
      </c>
      <c r="BH446" s="552" t="str">
        <f t="shared" si="700"/>
        <v/>
      </c>
      <c r="BI446" s="554" t="str">
        <f t="shared" si="558"/>
        <v/>
      </c>
      <c r="BJ446" s="554" t="str">
        <f t="shared" si="701"/>
        <v/>
      </c>
      <c r="BK446" s="552" t="str">
        <f t="shared" si="702"/>
        <v/>
      </c>
      <c r="BL446" s="554" t="str">
        <f t="shared" si="561"/>
        <v/>
      </c>
      <c r="BM446" s="554" t="str">
        <f t="shared" si="703"/>
        <v/>
      </c>
      <c r="BN446" s="552" t="str">
        <f t="shared" si="704"/>
        <v/>
      </c>
      <c r="BO446" s="554" t="str">
        <f t="shared" si="564"/>
        <v/>
      </c>
      <c r="BP446" s="554" t="str">
        <f t="shared" si="705"/>
        <v/>
      </c>
      <c r="BQ446" s="552" t="str">
        <f t="shared" si="706"/>
        <v/>
      </c>
      <c r="BR446" s="554"/>
      <c r="BS446" s="554"/>
      <c r="BT446" s="554"/>
      <c r="BU446" s="554"/>
      <c r="BV446" s="554"/>
      <c r="BW446" s="554"/>
      <c r="BX446" s="554"/>
      <c r="BY446" s="554"/>
      <c r="BZ446" s="554"/>
      <c r="CA446" s="554"/>
      <c r="CB446" s="554"/>
      <c r="CC446" s="554"/>
      <c r="CD446" s="554"/>
      <c r="CE446" s="554"/>
      <c r="CF446" s="554"/>
      <c r="CG446" s="554"/>
      <c r="CH446" s="554"/>
      <c r="CI446" s="554"/>
      <c r="CJ446" s="554"/>
      <c r="CK446" s="554"/>
      <c r="CL446" s="554"/>
      <c r="CM446" s="554"/>
      <c r="CN446" s="554"/>
      <c r="CO446" s="554"/>
      <c r="CP446" s="554"/>
      <c r="CQ446" s="554"/>
      <c r="CR446" s="554"/>
      <c r="CS446" s="554"/>
      <c r="CT446" s="554"/>
      <c r="CU446" s="554"/>
      <c r="CV446" s="554"/>
      <c r="CW446" s="554"/>
      <c r="CX446" s="554"/>
      <c r="CY446" s="554"/>
      <c r="CZ446" s="554"/>
      <c r="DA446" s="554"/>
      <c r="DB446" s="554"/>
      <c r="DC446" s="554"/>
      <c r="DD446" s="554"/>
      <c r="DE446" s="534"/>
      <c r="DF446" s="534"/>
      <c r="DG446" s="534"/>
    </row>
    <row r="447" spans="1:111" ht="15" x14ac:dyDescent="0.25">
      <c r="A447" s="549">
        <f>IFERROR(IF(INDEX('Weather Cases'!$E$10:$E$94,MATCH('Load Criteria'!X447,'Weather Cases'!$H$10:$H$94,0),1)=1,1,"-"),"-")</f>
        <v>1</v>
      </c>
      <c r="B447" s="555" t="s">
        <v>558</v>
      </c>
      <c r="C447" s="556" t="str">
        <f>IF('Weather Cases'!$E$40=0,"","DC/SC")</f>
        <v>DC/SC</v>
      </c>
      <c r="D447" s="556" t="s">
        <v>585</v>
      </c>
      <c r="E447" s="556" t="s">
        <v>22</v>
      </c>
      <c r="F447" s="556" t="s">
        <v>22</v>
      </c>
      <c r="G447" s="556" t="str">
        <f>IFERROR(IF(MID('Load Criteria'!X447,FIND("_",'Load Criteria'!X447,1)+1,1)=LEFT(Control!$D$23,1),"YES","-"),"-")</f>
        <v>-</v>
      </c>
      <c r="H447" s="549" t="str">
        <f>IF(INDEX('Weather Cases'!$G$10:$G$94,MATCH('Load Criteria'!X447,'Weather Cases'!$H$10:$H$94,0),1)="H","YES","-")</f>
        <v>YES</v>
      </c>
      <c r="I447" s="557" t="s">
        <v>585</v>
      </c>
      <c r="J447" s="508" t="s">
        <v>588</v>
      </c>
      <c r="K447" s="508" t="s">
        <v>60</v>
      </c>
      <c r="L447" s="508" t="s">
        <v>24</v>
      </c>
      <c r="M447" s="508"/>
      <c r="N447" s="508"/>
      <c r="O447" s="508"/>
      <c r="P447" s="395"/>
      <c r="Q447" s="395"/>
      <c r="R447" s="395"/>
      <c r="S447" s="395"/>
      <c r="T447" s="395"/>
      <c r="U447" s="255" t="s">
        <v>568</v>
      </c>
      <c r="V447" s="551" t="s">
        <v>300</v>
      </c>
      <c r="W447" s="588" t="str">
        <f t="shared" ref="W447" si="721">X447&amp;"+"&amp;K447&amp;IF(L447="","",CONCATENATE(L447,M447,N447,O447))&amp;" "&amp;U447</f>
        <v>CM3S_8+DA NA+</v>
      </c>
      <c r="X447" s="552" t="str">
        <f>I447&amp;TEXT(J447,"0000")&amp;"_"&amp;LEFT(Control!$D$22,LEN(Control!$D$22)-2)</f>
        <v>CM3S_8</v>
      </c>
      <c r="Y447" s="552" t="s">
        <v>433</v>
      </c>
      <c r="Z447" s="552" t="str">
        <f t="shared" ref="Z447" si="722">U447</f>
        <v>NA+</v>
      </c>
      <c r="AA447" s="552"/>
      <c r="AB447" s="552">
        <v>1</v>
      </c>
      <c r="AC447" s="552">
        <v>1</v>
      </c>
      <c r="AD447" s="552">
        <v>1</v>
      </c>
      <c r="AE447" s="552">
        <v>1</v>
      </c>
      <c r="AF447" s="552">
        <v>1</v>
      </c>
      <c r="AG447" s="542" t="s">
        <v>561</v>
      </c>
      <c r="AH447" s="552">
        <v>0</v>
      </c>
      <c r="AI447" s="552">
        <v>0</v>
      </c>
      <c r="AJ447" s="552">
        <v>1</v>
      </c>
      <c r="AK447" s="552">
        <v>1</v>
      </c>
      <c r="AL447" s="552">
        <v>1</v>
      </c>
      <c r="AM447" s="552">
        <v>0</v>
      </c>
      <c r="AN447" s="552">
        <v>0</v>
      </c>
      <c r="AO447" s="552">
        <v>1</v>
      </c>
      <c r="AP447" s="552">
        <v>1</v>
      </c>
      <c r="AQ447" s="552">
        <v>1</v>
      </c>
      <c r="AR447" s="552">
        <v>1</v>
      </c>
      <c r="AS447" s="552">
        <v>1</v>
      </c>
      <c r="AT447" s="552">
        <v>1</v>
      </c>
      <c r="AU447" s="552">
        <v>1</v>
      </c>
      <c r="AV447" s="553" t="str">
        <f>IF(H447="YES","'"&amp;INDEX('Structure Groups'!$C$12:$C$14,MATCH('Load Criteria'!$B$5,'Structure Groups'!$B$12:$B$14,0),1)&amp;"'","'All'")</f>
        <v>'GL Max 800m'</v>
      </c>
      <c r="AW447" s="552" t="s">
        <v>562</v>
      </c>
      <c r="AX447" s="552"/>
      <c r="AY447" s="552" t="str">
        <f t="shared" ref="AY447" si="723">IF(L447="","No","Yes")</f>
        <v>Yes</v>
      </c>
      <c r="AZ447" s="554" t="str">
        <f>IF($AY447="No","",IF($L447="A","Ahead Spans","Back Spans"))</f>
        <v>Ahead Spans</v>
      </c>
      <c r="BA447" s="554" t="str">
        <f>IF(AZ447="","","% Wire Ice")</f>
        <v>% Wire Ice</v>
      </c>
      <c r="BB447" s="552">
        <f>IF(AZ447="","",40)</f>
        <v>40</v>
      </c>
      <c r="BC447" s="554" t="str">
        <f>IF($AY447="No","",IF($L447="A","Back Spans","Ahead Spans"))</f>
        <v>Back Spans</v>
      </c>
      <c r="BD447" s="554" t="str">
        <f t="shared" ref="BD447" si="724">IF(BC447="","","% Wire Ice")</f>
        <v>% Wire Ice</v>
      </c>
      <c r="BE447" s="552">
        <f>IF(BB447="","",70)</f>
        <v>70</v>
      </c>
      <c r="BF447" s="554" t="str">
        <f t="shared" si="555"/>
        <v/>
      </c>
      <c r="BG447" s="554" t="str">
        <f t="shared" ref="BG447" si="725">IF(BF447="","","% Wire Ice")</f>
        <v/>
      </c>
      <c r="BH447" s="552" t="str">
        <f t="shared" ref="BH447" si="726">IF(BF447="","",40)</f>
        <v/>
      </c>
      <c r="BI447" s="554" t="str">
        <f t="shared" si="558"/>
        <v/>
      </c>
      <c r="BJ447" s="554" t="str">
        <f t="shared" ref="BJ447" si="727">IF(BI447="","","% Wire Ice")</f>
        <v/>
      </c>
      <c r="BK447" s="552" t="str">
        <f t="shared" ref="BK447" si="728">IF(BH447="","",70)</f>
        <v/>
      </c>
      <c r="BL447" s="554" t="str">
        <f t="shared" si="561"/>
        <v/>
      </c>
      <c r="BM447" s="554" t="str">
        <f t="shared" ref="BM447" si="729">IF(BL447="","","% Wire Ice")</f>
        <v/>
      </c>
      <c r="BN447" s="552" t="str">
        <f t="shared" ref="BN447" si="730">IF(BL447="","",40)</f>
        <v/>
      </c>
      <c r="BO447" s="554" t="str">
        <f t="shared" si="564"/>
        <v/>
      </c>
      <c r="BP447" s="554" t="str">
        <f t="shared" ref="BP447" si="731">IF(BO447="","","% Wire Ice")</f>
        <v/>
      </c>
      <c r="BQ447" s="552" t="str">
        <f t="shared" ref="BQ447" si="732">IF(BN447="","",70)</f>
        <v/>
      </c>
      <c r="BR447" s="554"/>
      <c r="BS447" s="554"/>
      <c r="BT447" s="554"/>
      <c r="BU447" s="554"/>
      <c r="BV447" s="554"/>
      <c r="BW447" s="554"/>
      <c r="BX447" s="554"/>
      <c r="BY447" s="554"/>
      <c r="BZ447" s="554"/>
      <c r="CA447" s="554"/>
      <c r="CB447" s="554"/>
      <c r="CC447" s="554"/>
      <c r="CD447" s="554"/>
      <c r="CE447" s="554"/>
      <c r="CF447" s="554"/>
      <c r="CG447" s="554"/>
      <c r="CH447" s="554"/>
      <c r="CI447" s="554"/>
      <c r="CJ447" s="554"/>
      <c r="CK447" s="554"/>
      <c r="CL447" s="554"/>
      <c r="CM447" s="554"/>
      <c r="CN447" s="554"/>
      <c r="CO447" s="554"/>
      <c r="CP447" s="554"/>
      <c r="CQ447" s="554"/>
      <c r="CR447" s="554"/>
      <c r="CS447" s="554"/>
      <c r="CT447" s="554"/>
      <c r="CU447" s="554"/>
      <c r="CV447" s="554"/>
      <c r="CW447" s="554"/>
      <c r="CX447" s="554"/>
      <c r="CY447" s="554"/>
      <c r="CZ447" s="554"/>
      <c r="DA447" s="554"/>
      <c r="DB447" s="554"/>
      <c r="DC447" s="554"/>
      <c r="DD447" s="554"/>
      <c r="DE447" s="534"/>
      <c r="DF447" s="534"/>
      <c r="DG447" s="534"/>
    </row>
    <row r="448" spans="1:111" ht="15" x14ac:dyDescent="0.25">
      <c r="A448" s="549">
        <f>IFERROR(IF(INDEX('Weather Cases'!$E$10:$E$94,MATCH('Load Criteria'!X448,'Weather Cases'!$H$10:$H$94,0),1)=1,1,"-"),"-")</f>
        <v>1</v>
      </c>
      <c r="B448" s="555" t="s">
        <v>558</v>
      </c>
      <c r="C448" s="556" t="str">
        <f>IF('Weather Cases'!$E$40=0,"","DC/SC")</f>
        <v>DC/SC</v>
      </c>
      <c r="D448" s="556" t="s">
        <v>585</v>
      </c>
      <c r="E448" s="556" t="s">
        <v>22</v>
      </c>
      <c r="F448" s="556" t="s">
        <v>22</v>
      </c>
      <c r="G448" s="556" t="str">
        <f>IFERROR(IF(MID('Load Criteria'!X448,FIND("_",'Load Criteria'!X448,1)+1,1)=LEFT(Control!$D$23,1),"YES","-"),"-")</f>
        <v>-</v>
      </c>
      <c r="H448" s="549" t="str">
        <f>IF(INDEX('Weather Cases'!$G$10:$G$94,MATCH('Load Criteria'!X448,'Weather Cases'!$H$10:$H$94,0),1)="H","YES","-")</f>
        <v>YES</v>
      </c>
      <c r="I448" s="557" t="s">
        <v>585</v>
      </c>
      <c r="J448" s="508" t="s">
        <v>588</v>
      </c>
      <c r="K448" s="508" t="s">
        <v>60</v>
      </c>
      <c r="L448" s="508" t="s">
        <v>24</v>
      </c>
      <c r="M448" s="508"/>
      <c r="N448" s="508"/>
      <c r="O448" s="508"/>
      <c r="P448" s="395"/>
      <c r="Q448" s="395"/>
      <c r="R448" s="395"/>
      <c r="S448" s="395"/>
      <c r="T448" s="395"/>
      <c r="U448" s="255" t="s">
        <v>574</v>
      </c>
      <c r="V448" s="551" t="s">
        <v>300</v>
      </c>
      <c r="W448" s="542" t="str">
        <f t="shared" ref="W448:W450" si="733">X448&amp;"+"&amp;K448&amp;IF(L448="","",CONCATENATE(L448,M448,N448,O448))&amp;" "&amp;U448</f>
        <v>CM3S_8+DA NA-</v>
      </c>
      <c r="X448" s="552" t="str">
        <f>I448&amp;TEXT(J448,"0000")&amp;"_"&amp;LEFT(Control!$D$22,LEN(Control!$D$22)-2)</f>
        <v>CM3S_8</v>
      </c>
      <c r="Y448" s="552" t="s">
        <v>433</v>
      </c>
      <c r="Z448" s="552" t="str">
        <f t="shared" si="695"/>
        <v>NA-</v>
      </c>
      <c r="AA448" s="552"/>
      <c r="AB448" s="552">
        <v>1</v>
      </c>
      <c r="AC448" s="552">
        <v>1</v>
      </c>
      <c r="AD448" s="552">
        <v>1</v>
      </c>
      <c r="AE448" s="552">
        <v>1</v>
      </c>
      <c r="AF448" s="552">
        <v>1</v>
      </c>
      <c r="AG448" s="542" t="s">
        <v>561</v>
      </c>
      <c r="AH448" s="552">
        <v>0</v>
      </c>
      <c r="AI448" s="552">
        <v>0</v>
      </c>
      <c r="AJ448" s="552">
        <v>1</v>
      </c>
      <c r="AK448" s="552">
        <v>1</v>
      </c>
      <c r="AL448" s="552">
        <v>1</v>
      </c>
      <c r="AM448" s="552">
        <v>0</v>
      </c>
      <c r="AN448" s="552">
        <v>0</v>
      </c>
      <c r="AO448" s="552">
        <v>1</v>
      </c>
      <c r="AP448" s="552">
        <v>1</v>
      </c>
      <c r="AQ448" s="552">
        <v>1</v>
      </c>
      <c r="AR448" s="552">
        <v>1</v>
      </c>
      <c r="AS448" s="552">
        <v>1</v>
      </c>
      <c r="AT448" s="552">
        <v>1</v>
      </c>
      <c r="AU448" s="552">
        <v>1</v>
      </c>
      <c r="AV448" s="553" t="str">
        <f>IF(H448="YES","'"&amp;INDEX('Structure Groups'!$C$12:$C$14,MATCH('Load Criteria'!$B$5,'Structure Groups'!$B$12:$B$14,0),1)&amp;"'","'All'")</f>
        <v>'GL Max 800m'</v>
      </c>
      <c r="AW448" s="552" t="s">
        <v>562</v>
      </c>
      <c r="AX448" s="552"/>
      <c r="AY448" s="552" t="str">
        <f t="shared" si="696"/>
        <v>Yes</v>
      </c>
      <c r="AZ448" s="554" t="str">
        <f>IF($AY448="No","",IF($L448="A","Ahead Spans","Back Spans"))</f>
        <v>Ahead Spans</v>
      </c>
      <c r="BA448" s="554" t="str">
        <f>IF(AZ448="","","% Wire Ice")</f>
        <v>% Wire Ice</v>
      </c>
      <c r="BB448" s="552">
        <f>IF(AZ448="","",40)</f>
        <v>40</v>
      </c>
      <c r="BC448" s="554" t="str">
        <f>IF($AY448="No","",IF($L448="A","Back Spans","Ahead Spans"))</f>
        <v>Back Spans</v>
      </c>
      <c r="BD448" s="554" t="str">
        <f t="shared" ref="BD448:BD450" si="734">IF(BC448="","","% Wire Ice")</f>
        <v>% Wire Ice</v>
      </c>
      <c r="BE448" s="552">
        <f>IF(BB448="","",70)</f>
        <v>70</v>
      </c>
      <c r="BF448" s="554" t="str">
        <f t="shared" si="555"/>
        <v/>
      </c>
      <c r="BG448" s="554" t="str">
        <f t="shared" si="699"/>
        <v/>
      </c>
      <c r="BH448" s="552" t="str">
        <f t="shared" si="700"/>
        <v/>
      </c>
      <c r="BI448" s="554" t="str">
        <f t="shared" si="558"/>
        <v/>
      </c>
      <c r="BJ448" s="554" t="str">
        <f t="shared" si="701"/>
        <v/>
      </c>
      <c r="BK448" s="552" t="str">
        <f t="shared" si="702"/>
        <v/>
      </c>
      <c r="BL448" s="554" t="str">
        <f t="shared" si="561"/>
        <v/>
      </c>
      <c r="BM448" s="554" t="str">
        <f t="shared" si="703"/>
        <v/>
      </c>
      <c r="BN448" s="552" t="str">
        <f t="shared" si="704"/>
        <v/>
      </c>
      <c r="BO448" s="554" t="str">
        <f t="shared" si="564"/>
        <v/>
      </c>
      <c r="BP448" s="554" t="str">
        <f t="shared" si="705"/>
        <v/>
      </c>
      <c r="BQ448" s="552" t="str">
        <f t="shared" si="706"/>
        <v/>
      </c>
      <c r="BR448" s="554"/>
      <c r="BS448" s="554"/>
      <c r="BT448" s="554"/>
      <c r="BU448" s="554"/>
      <c r="BV448" s="554"/>
      <c r="BW448" s="554"/>
      <c r="BX448" s="554"/>
      <c r="BY448" s="554"/>
      <c r="BZ448" s="554"/>
      <c r="CA448" s="554"/>
      <c r="CB448" s="554"/>
      <c r="CC448" s="554"/>
      <c r="CD448" s="554"/>
      <c r="CE448" s="554"/>
      <c r="CF448" s="554"/>
      <c r="CG448" s="554"/>
      <c r="CH448" s="554"/>
      <c r="CI448" s="554"/>
      <c r="CJ448" s="554"/>
      <c r="CK448" s="554"/>
      <c r="CL448" s="554"/>
      <c r="CM448" s="554"/>
      <c r="CN448" s="554"/>
      <c r="CO448" s="554"/>
      <c r="CP448" s="554"/>
      <c r="CQ448" s="554"/>
      <c r="CR448" s="554"/>
      <c r="CS448" s="554"/>
      <c r="CT448" s="554"/>
      <c r="CU448" s="554"/>
      <c r="CV448" s="554"/>
      <c r="CW448" s="554"/>
      <c r="CX448" s="554"/>
      <c r="CY448" s="554"/>
      <c r="CZ448" s="554"/>
      <c r="DA448" s="554"/>
      <c r="DB448" s="554"/>
      <c r="DC448" s="554"/>
      <c r="DD448" s="554"/>
      <c r="DE448" s="534"/>
      <c r="DF448" s="534"/>
      <c r="DG448" s="534"/>
    </row>
    <row r="449" spans="1:111" ht="15" x14ac:dyDescent="0.25">
      <c r="A449" s="549">
        <f>IFERROR(IF(INDEX('Weather Cases'!$E$10:$E$94,MATCH('Load Criteria'!X449,'Weather Cases'!$H$10:$H$94,0),1)=1,1,"-"),"-")</f>
        <v>1</v>
      </c>
      <c r="B449" s="555" t="s">
        <v>558</v>
      </c>
      <c r="C449" s="556" t="str">
        <f>IF('Weather Cases'!$E$40=0,"","DC/SC")</f>
        <v>DC/SC</v>
      </c>
      <c r="D449" s="556" t="s">
        <v>585</v>
      </c>
      <c r="E449" s="556" t="s">
        <v>22</v>
      </c>
      <c r="F449" s="556" t="s">
        <v>22</v>
      </c>
      <c r="G449" s="556" t="str">
        <f>IFERROR(IF(MID('Load Criteria'!X449,FIND("_",'Load Criteria'!X449,1)+1,1)=LEFT(Control!$D$23,1),"YES","-"),"-")</f>
        <v>-</v>
      </c>
      <c r="H449" s="549" t="str">
        <f>IF(INDEX('Weather Cases'!$G$10:$G$94,MATCH('Load Criteria'!X449,'Weather Cases'!$H$10:$H$94,0),1)="H","YES","-")</f>
        <v>YES</v>
      </c>
      <c r="I449" s="557" t="s">
        <v>585</v>
      </c>
      <c r="J449" s="508" t="s">
        <v>588</v>
      </c>
      <c r="K449" s="508" t="s">
        <v>60</v>
      </c>
      <c r="L449" s="508" t="s">
        <v>40</v>
      </c>
      <c r="M449" s="508"/>
      <c r="N449" s="508"/>
      <c r="O449" s="508"/>
      <c r="P449" s="395"/>
      <c r="Q449" s="395"/>
      <c r="R449" s="395"/>
      <c r="S449" s="395"/>
      <c r="T449" s="395"/>
      <c r="U449" s="255" t="s">
        <v>568</v>
      </c>
      <c r="V449" s="551" t="s">
        <v>300</v>
      </c>
      <c r="W449" s="588" t="str">
        <f t="shared" ref="W449" si="735">X449&amp;"+"&amp;K449&amp;IF(L449="","",CONCATENATE(L449,M449,N449,O449))&amp;" "&amp;U449</f>
        <v>CM3S_8+DB NA+</v>
      </c>
      <c r="X449" s="552" t="str">
        <f>I449&amp;TEXT(J449,"0000")&amp;"_"&amp;LEFT(Control!$D$22,LEN(Control!$D$22)-2)</f>
        <v>CM3S_8</v>
      </c>
      <c r="Y449" s="552" t="s">
        <v>433</v>
      </c>
      <c r="Z449" s="552" t="str">
        <f t="shared" ref="Z449" si="736">U449</f>
        <v>NA+</v>
      </c>
      <c r="AA449" s="552"/>
      <c r="AB449" s="552">
        <v>1</v>
      </c>
      <c r="AC449" s="552">
        <v>1</v>
      </c>
      <c r="AD449" s="552">
        <v>1</v>
      </c>
      <c r="AE449" s="552">
        <v>1</v>
      </c>
      <c r="AF449" s="552">
        <v>1</v>
      </c>
      <c r="AG449" s="542" t="s">
        <v>561</v>
      </c>
      <c r="AH449" s="552">
        <v>0</v>
      </c>
      <c r="AI449" s="552">
        <v>0</v>
      </c>
      <c r="AJ449" s="552">
        <v>1</v>
      </c>
      <c r="AK449" s="552">
        <v>1</v>
      </c>
      <c r="AL449" s="552">
        <v>1</v>
      </c>
      <c r="AM449" s="552">
        <v>0</v>
      </c>
      <c r="AN449" s="552">
        <v>0</v>
      </c>
      <c r="AO449" s="552">
        <v>1</v>
      </c>
      <c r="AP449" s="552">
        <v>1</v>
      </c>
      <c r="AQ449" s="552">
        <v>1</v>
      </c>
      <c r="AR449" s="552">
        <v>1</v>
      </c>
      <c r="AS449" s="552">
        <v>1</v>
      </c>
      <c r="AT449" s="552">
        <v>1</v>
      </c>
      <c r="AU449" s="552">
        <v>1</v>
      </c>
      <c r="AV449" s="553" t="str">
        <f>IF(H449="YES","'"&amp;INDEX('Structure Groups'!$C$12:$C$14,MATCH('Load Criteria'!$B$5,'Structure Groups'!$B$12:$B$14,0),1)&amp;"'","'All'")</f>
        <v>'GL Max 800m'</v>
      </c>
      <c r="AW449" s="552" t="s">
        <v>562</v>
      </c>
      <c r="AX449" s="552"/>
      <c r="AY449" s="552" t="str">
        <f t="shared" ref="AY449" si="737">IF(L449="","No","Yes")</f>
        <v>Yes</v>
      </c>
      <c r="AZ449" s="554" t="str">
        <f>IF($AY449="No","",IF($L449="A","Ahead Spans","Back Spans"))</f>
        <v>Back Spans</v>
      </c>
      <c r="BA449" s="554" t="str">
        <f>IF(AZ449="","","% Wire Ice")</f>
        <v>% Wire Ice</v>
      </c>
      <c r="BB449" s="552">
        <f>IF(AZ449="","",40)</f>
        <v>40</v>
      </c>
      <c r="BC449" s="554" t="str">
        <f>IF($AY449="No","",IF($L449="A","Back Spans","Ahead Spans"))</f>
        <v>Ahead Spans</v>
      </c>
      <c r="BD449" s="554" t="str">
        <f t="shared" ref="BD449" si="738">IF(BC449="","","% Wire Ice")</f>
        <v>% Wire Ice</v>
      </c>
      <c r="BE449" s="552">
        <f>IF(BB449="","",70)</f>
        <v>70</v>
      </c>
      <c r="BF449" s="554" t="str">
        <f t="shared" si="555"/>
        <v/>
      </c>
      <c r="BG449" s="554" t="str">
        <f t="shared" ref="BG449" si="739">IF(BF449="","","% Wire Ice")</f>
        <v/>
      </c>
      <c r="BH449" s="552" t="str">
        <f t="shared" ref="BH449" si="740">IF(BF449="","",40)</f>
        <v/>
      </c>
      <c r="BI449" s="554" t="str">
        <f t="shared" si="558"/>
        <v/>
      </c>
      <c r="BJ449" s="554" t="str">
        <f t="shared" ref="BJ449" si="741">IF(BI449="","","% Wire Ice")</f>
        <v/>
      </c>
      <c r="BK449" s="552" t="str">
        <f t="shared" ref="BK449" si="742">IF(BH449="","",70)</f>
        <v/>
      </c>
      <c r="BL449" s="554" t="str">
        <f t="shared" si="561"/>
        <v/>
      </c>
      <c r="BM449" s="554" t="str">
        <f t="shared" ref="BM449" si="743">IF(BL449="","","% Wire Ice")</f>
        <v/>
      </c>
      <c r="BN449" s="552" t="str">
        <f t="shared" ref="BN449" si="744">IF(BL449="","",40)</f>
        <v/>
      </c>
      <c r="BO449" s="554" t="str">
        <f t="shared" si="564"/>
        <v/>
      </c>
      <c r="BP449" s="554" t="str">
        <f t="shared" ref="BP449" si="745">IF(BO449="","","% Wire Ice")</f>
        <v/>
      </c>
      <c r="BQ449" s="552" t="str">
        <f t="shared" ref="BQ449" si="746">IF(BN449="","",70)</f>
        <v/>
      </c>
      <c r="BR449" s="554"/>
      <c r="BS449" s="554"/>
      <c r="BT449" s="554"/>
      <c r="BU449" s="554"/>
      <c r="BV449" s="554"/>
      <c r="BW449" s="554"/>
      <c r="BX449" s="554"/>
      <c r="BY449" s="554"/>
      <c r="BZ449" s="554"/>
      <c r="CA449" s="554"/>
      <c r="CB449" s="554"/>
      <c r="CC449" s="554"/>
      <c r="CD449" s="554"/>
      <c r="CE449" s="554"/>
      <c r="CF449" s="554"/>
      <c r="CG449" s="554"/>
      <c r="CH449" s="554"/>
      <c r="CI449" s="554"/>
      <c r="CJ449" s="554"/>
      <c r="CK449" s="554"/>
      <c r="CL449" s="554"/>
      <c r="CM449" s="554"/>
      <c r="CN449" s="554"/>
      <c r="CO449" s="554"/>
      <c r="CP449" s="554"/>
      <c r="CQ449" s="554"/>
      <c r="CR449" s="554"/>
      <c r="CS449" s="554"/>
      <c r="CT449" s="554"/>
      <c r="CU449" s="554"/>
      <c r="CV449" s="554"/>
      <c r="CW449" s="554"/>
      <c r="CX449" s="554"/>
      <c r="CY449" s="554"/>
      <c r="CZ449" s="554"/>
      <c r="DA449" s="554"/>
      <c r="DB449" s="554"/>
      <c r="DC449" s="554"/>
      <c r="DD449" s="554"/>
      <c r="DE449" s="534"/>
      <c r="DF449" s="534"/>
      <c r="DG449" s="534"/>
    </row>
    <row r="450" spans="1:111" ht="15" x14ac:dyDescent="0.25">
      <c r="A450" s="549">
        <f>IFERROR(IF(INDEX('Weather Cases'!$E$10:$E$94,MATCH('Load Criteria'!X450,'Weather Cases'!$H$10:$H$94,0),1)=1,1,"-"),"-")</f>
        <v>1</v>
      </c>
      <c r="B450" s="555" t="s">
        <v>558</v>
      </c>
      <c r="C450" s="556" t="str">
        <f>IF('Weather Cases'!$E$40=0,"","DC/SC")</f>
        <v>DC/SC</v>
      </c>
      <c r="D450" s="556" t="s">
        <v>585</v>
      </c>
      <c r="E450" s="556" t="s">
        <v>22</v>
      </c>
      <c r="F450" s="556" t="s">
        <v>22</v>
      </c>
      <c r="G450" s="556" t="str">
        <f>IFERROR(IF(MID('Load Criteria'!X450,FIND("_",'Load Criteria'!X450,1)+1,1)=LEFT(Control!$D$23,1),"YES","-"),"-")</f>
        <v>-</v>
      </c>
      <c r="H450" s="549" t="str">
        <f>IF(INDEX('Weather Cases'!$G$10:$G$94,MATCH('Load Criteria'!X450,'Weather Cases'!$H$10:$H$94,0),1)="H","YES","-")</f>
        <v>YES</v>
      </c>
      <c r="I450" s="557" t="s">
        <v>585</v>
      </c>
      <c r="J450" s="508" t="s">
        <v>588</v>
      </c>
      <c r="K450" s="508" t="s">
        <v>60</v>
      </c>
      <c r="L450" s="508" t="s">
        <v>40</v>
      </c>
      <c r="M450" s="508"/>
      <c r="N450" s="508"/>
      <c r="O450" s="508"/>
      <c r="P450" s="395"/>
      <c r="Q450" s="395"/>
      <c r="R450" s="395"/>
      <c r="S450" s="395"/>
      <c r="T450" s="395"/>
      <c r="U450" s="255" t="s">
        <v>574</v>
      </c>
      <c r="V450" s="551" t="s">
        <v>300</v>
      </c>
      <c r="W450" s="542" t="str">
        <f t="shared" si="733"/>
        <v>CM3S_8+DB NA-</v>
      </c>
      <c r="X450" s="552" t="str">
        <f>I450&amp;TEXT(J450,"0000")&amp;"_"&amp;LEFT(Control!$D$22,LEN(Control!$D$22)-2)</f>
        <v>CM3S_8</v>
      </c>
      <c r="Y450" s="552" t="s">
        <v>433</v>
      </c>
      <c r="Z450" s="552" t="str">
        <f t="shared" si="695"/>
        <v>NA-</v>
      </c>
      <c r="AA450" s="552"/>
      <c r="AB450" s="552">
        <v>1</v>
      </c>
      <c r="AC450" s="552">
        <v>1</v>
      </c>
      <c r="AD450" s="552">
        <v>1</v>
      </c>
      <c r="AE450" s="552">
        <v>1</v>
      </c>
      <c r="AF450" s="552">
        <v>1</v>
      </c>
      <c r="AG450" s="542" t="s">
        <v>561</v>
      </c>
      <c r="AH450" s="552">
        <v>0</v>
      </c>
      <c r="AI450" s="552">
        <v>0</v>
      </c>
      <c r="AJ450" s="552">
        <v>1</v>
      </c>
      <c r="AK450" s="552">
        <v>1</v>
      </c>
      <c r="AL450" s="552">
        <v>1</v>
      </c>
      <c r="AM450" s="552">
        <v>0</v>
      </c>
      <c r="AN450" s="552">
        <v>0</v>
      </c>
      <c r="AO450" s="552">
        <v>1</v>
      </c>
      <c r="AP450" s="552">
        <v>1</v>
      </c>
      <c r="AQ450" s="552">
        <v>1</v>
      </c>
      <c r="AR450" s="552">
        <v>1</v>
      </c>
      <c r="AS450" s="552">
        <v>1</v>
      </c>
      <c r="AT450" s="552">
        <v>1</v>
      </c>
      <c r="AU450" s="552">
        <v>1</v>
      </c>
      <c r="AV450" s="553" t="str">
        <f>IF(H450="YES","'"&amp;INDEX('Structure Groups'!$C$12:$C$14,MATCH('Load Criteria'!$B$5,'Structure Groups'!$B$12:$B$14,0),1)&amp;"'","'All'")</f>
        <v>'GL Max 800m'</v>
      </c>
      <c r="AW450" s="552" t="s">
        <v>562</v>
      </c>
      <c r="AX450" s="552"/>
      <c r="AY450" s="552" t="str">
        <f t="shared" si="696"/>
        <v>Yes</v>
      </c>
      <c r="AZ450" s="554" t="str">
        <f>IF($AY450="No","",IF($L450="A","Ahead Spans","Back Spans"))</f>
        <v>Back Spans</v>
      </c>
      <c r="BA450" s="554" t="str">
        <f>IF(AZ450="","","% Wire Ice")</f>
        <v>% Wire Ice</v>
      </c>
      <c r="BB450" s="552">
        <f>IF(AZ450="","",40)</f>
        <v>40</v>
      </c>
      <c r="BC450" s="554" t="str">
        <f>IF($AY450="No","",IF($L450="A","Back Spans","Ahead Spans"))</f>
        <v>Ahead Spans</v>
      </c>
      <c r="BD450" s="554" t="str">
        <f t="shared" si="734"/>
        <v>% Wire Ice</v>
      </c>
      <c r="BE450" s="552">
        <f>IF(BB450="","",70)</f>
        <v>70</v>
      </c>
      <c r="BF450" s="554" t="str">
        <f t="shared" si="555"/>
        <v/>
      </c>
      <c r="BG450" s="554" t="str">
        <f t="shared" si="699"/>
        <v/>
      </c>
      <c r="BH450" s="552" t="str">
        <f t="shared" si="700"/>
        <v/>
      </c>
      <c r="BI450" s="554" t="str">
        <f t="shared" si="558"/>
        <v/>
      </c>
      <c r="BJ450" s="554" t="str">
        <f t="shared" si="701"/>
        <v/>
      </c>
      <c r="BK450" s="552" t="str">
        <f t="shared" si="702"/>
        <v/>
      </c>
      <c r="BL450" s="554" t="str">
        <f t="shared" si="561"/>
        <v/>
      </c>
      <c r="BM450" s="554" t="str">
        <f t="shared" si="703"/>
        <v/>
      </c>
      <c r="BN450" s="552" t="str">
        <f t="shared" si="704"/>
        <v/>
      </c>
      <c r="BO450" s="554" t="str">
        <f t="shared" si="564"/>
        <v/>
      </c>
      <c r="BP450" s="554" t="str">
        <f t="shared" si="705"/>
        <v/>
      </c>
      <c r="BQ450" s="552" t="str">
        <f t="shared" si="706"/>
        <v/>
      </c>
      <c r="BR450" s="554"/>
      <c r="BS450" s="554"/>
      <c r="BT450" s="554"/>
      <c r="BU450" s="554"/>
      <c r="BV450" s="554"/>
      <c r="BW450" s="554"/>
      <c r="BX450" s="554"/>
      <c r="BY450" s="554"/>
      <c r="BZ450" s="554"/>
      <c r="CA450" s="554"/>
      <c r="CB450" s="554"/>
      <c r="CC450" s="554"/>
      <c r="CD450" s="554"/>
      <c r="CE450" s="554"/>
      <c r="CF450" s="554"/>
      <c r="CG450" s="554"/>
      <c r="CH450" s="554"/>
      <c r="CI450" s="554"/>
      <c r="CJ450" s="554"/>
      <c r="CK450" s="554"/>
      <c r="CL450" s="554"/>
      <c r="CM450" s="554"/>
      <c r="CN450" s="554"/>
      <c r="CO450" s="554"/>
      <c r="CP450" s="554"/>
      <c r="CQ450" s="554"/>
      <c r="CR450" s="554"/>
      <c r="CS450" s="554"/>
      <c r="CT450" s="554"/>
      <c r="CU450" s="554"/>
      <c r="CV450" s="554"/>
      <c r="CW450" s="554"/>
      <c r="CX450" s="554"/>
      <c r="CY450" s="554"/>
      <c r="CZ450" s="554"/>
      <c r="DA450" s="554"/>
      <c r="DB450" s="554"/>
      <c r="DC450" s="554"/>
      <c r="DD450" s="554"/>
      <c r="DE450" s="534"/>
      <c r="DF450" s="534"/>
      <c r="DG450" s="534"/>
    </row>
    <row r="451" spans="1:111" ht="15" x14ac:dyDescent="0.25">
      <c r="A451" s="549">
        <f>IFERROR(IF(INDEX('Weather Cases'!$E$10:$E$94,MATCH('Load Criteria'!X451,'Weather Cases'!$H$10:$H$94,0),1)=1,1,"-"),"-")</f>
        <v>1</v>
      </c>
      <c r="B451" s="555" t="s">
        <v>558</v>
      </c>
      <c r="C451" s="556" t="str">
        <f>IF('Weather Cases'!$E$40=0,"","DC/SC")</f>
        <v>DC/SC</v>
      </c>
      <c r="D451" s="556" t="s">
        <v>585</v>
      </c>
      <c r="E451" s="556" t="s">
        <v>22</v>
      </c>
      <c r="F451" s="556" t="s">
        <v>22</v>
      </c>
      <c r="G451" s="556" t="str">
        <f>IFERROR(IF(MID('Load Criteria'!X451,FIND("_",'Load Criteria'!X451,1)+1,1)=LEFT(Control!$D$23,1),"YES","-"),"-")</f>
        <v>-</v>
      </c>
      <c r="H451" s="549" t="str">
        <f>IF(INDEX('Weather Cases'!$G$10:$G$94,MATCH('Load Criteria'!X451,'Weather Cases'!$H$10:$H$94,0),1)="H","YES","-")</f>
        <v>YES</v>
      </c>
      <c r="I451" s="557" t="s">
        <v>585</v>
      </c>
      <c r="J451" s="508" t="s">
        <v>589</v>
      </c>
      <c r="K451" s="508" t="s">
        <v>88</v>
      </c>
      <c r="L451" s="508"/>
      <c r="M451" s="508"/>
      <c r="N451" s="508"/>
      <c r="O451" s="508"/>
      <c r="P451" s="395"/>
      <c r="Q451" s="395"/>
      <c r="R451" s="395"/>
      <c r="S451" s="395"/>
      <c r="T451" s="395"/>
      <c r="U451" s="255" t="s">
        <v>568</v>
      </c>
      <c r="V451" s="551" t="s">
        <v>300</v>
      </c>
      <c r="W451" s="588" t="str">
        <f>X451&amp;"+"&amp;K451&amp;IF(L451="","",CONCATENATE(L451,M451,N451,O451))&amp;" "&amp;U451</f>
        <v>CM3I_8+E NA+</v>
      </c>
      <c r="X451" s="552" t="str">
        <f>I451&amp;TEXT(J451,"0000")&amp;"_"&amp;LEFT(Control!$D$22,LEN(Control!$D$22)-2)</f>
        <v>CM3I_8</v>
      </c>
      <c r="Y451" s="552" t="s">
        <v>433</v>
      </c>
      <c r="Z451" s="552" t="str">
        <f t="shared" ref="Z451" si="747">U451</f>
        <v>NA+</v>
      </c>
      <c r="AA451" s="552"/>
      <c r="AB451" s="552">
        <v>1</v>
      </c>
      <c r="AC451" s="552">
        <v>1</v>
      </c>
      <c r="AD451" s="552">
        <v>1</v>
      </c>
      <c r="AE451" s="552">
        <v>1</v>
      </c>
      <c r="AF451" s="552">
        <v>1</v>
      </c>
      <c r="AG451" s="542" t="s">
        <v>561</v>
      </c>
      <c r="AH451" s="552">
        <v>0</v>
      </c>
      <c r="AI451" s="552">
        <v>0</v>
      </c>
      <c r="AJ451" s="552">
        <v>1</v>
      </c>
      <c r="AK451" s="552">
        <v>1</v>
      </c>
      <c r="AL451" s="552">
        <v>1</v>
      </c>
      <c r="AM451" s="552">
        <v>0</v>
      </c>
      <c r="AN451" s="552">
        <v>0</v>
      </c>
      <c r="AO451" s="552">
        <v>1</v>
      </c>
      <c r="AP451" s="552">
        <v>1</v>
      </c>
      <c r="AQ451" s="552">
        <v>1</v>
      </c>
      <c r="AR451" s="552">
        <v>1</v>
      </c>
      <c r="AS451" s="552">
        <v>1</v>
      </c>
      <c r="AT451" s="552">
        <v>1</v>
      </c>
      <c r="AU451" s="552">
        <v>1</v>
      </c>
      <c r="AV451" s="553" t="str">
        <f>IF(H451="YES","'"&amp;INDEX('Structure Groups'!$C$12:$C$14,MATCH('Load Criteria'!$B$5,'Structure Groups'!$B$12:$B$14,0),1)&amp;"'","'All'")</f>
        <v>'GL Max 800m'</v>
      </c>
      <c r="AW451" s="552" t="s">
        <v>562</v>
      </c>
      <c r="AX451" s="552"/>
      <c r="AY451" s="552" t="str">
        <f t="shared" ref="AY451" si="748">IF(L451="","No","Yes")</f>
        <v>No</v>
      </c>
      <c r="AZ451" s="554" t="str">
        <f t="shared" ref="AZ451" si="749">IF(AY451="No","",IF(L451="A","Ahead Spans","Back Spans"))</f>
        <v/>
      </c>
      <c r="BA451" s="554" t="str">
        <f t="shared" ref="BA451" si="750">IF(AZ451="","","% Wire Wind Pressure")</f>
        <v/>
      </c>
      <c r="BB451" s="552" t="str">
        <f t="shared" ref="BB451" si="751">IF(AZ451="","",75)</f>
        <v/>
      </c>
      <c r="BC451" s="554"/>
      <c r="BD451" s="554"/>
      <c r="BE451" s="552"/>
      <c r="BF451" s="554"/>
      <c r="BG451" s="554"/>
      <c r="BH451" s="552"/>
      <c r="BI451" s="554"/>
      <c r="BJ451" s="554"/>
      <c r="BK451" s="552"/>
      <c r="BL451" s="554"/>
      <c r="BM451" s="554"/>
      <c r="BN451" s="552"/>
      <c r="BO451" s="554"/>
      <c r="BP451" s="554"/>
      <c r="BQ451" s="552"/>
      <c r="BR451" s="554"/>
      <c r="BS451" s="554"/>
      <c r="BT451" s="554"/>
      <c r="BU451" s="554"/>
      <c r="BV451" s="554"/>
      <c r="BW451" s="554"/>
      <c r="BX451" s="554"/>
      <c r="BY451" s="554"/>
      <c r="BZ451" s="554"/>
      <c r="CA451" s="554"/>
      <c r="CB451" s="554"/>
      <c r="CC451" s="554"/>
      <c r="CD451" s="554"/>
      <c r="CE451" s="554"/>
      <c r="CF451" s="554"/>
      <c r="CG451" s="554"/>
      <c r="CH451" s="554"/>
      <c r="CI451" s="554"/>
      <c r="CJ451" s="554"/>
      <c r="CK451" s="554"/>
      <c r="CL451" s="554"/>
      <c r="CM451" s="554"/>
      <c r="CN451" s="554"/>
      <c r="CO451" s="554"/>
      <c r="CP451" s="554"/>
      <c r="CQ451" s="554"/>
      <c r="CR451" s="554"/>
      <c r="CS451" s="554"/>
      <c r="CT451" s="554"/>
      <c r="CU451" s="554"/>
      <c r="CV451" s="554"/>
      <c r="CW451" s="554"/>
      <c r="CX451" s="554"/>
      <c r="CY451" s="554"/>
      <c r="CZ451" s="554"/>
      <c r="DA451" s="554"/>
      <c r="DB451" s="554"/>
      <c r="DC451" s="554"/>
      <c r="DD451" s="554"/>
      <c r="DE451" s="534"/>
      <c r="DF451" s="534"/>
      <c r="DG451" s="534"/>
    </row>
    <row r="452" spans="1:111" ht="15" x14ac:dyDescent="0.25">
      <c r="A452" s="549">
        <f>IFERROR(IF(INDEX('Weather Cases'!$E$10:$E$94,MATCH('Load Criteria'!X452,'Weather Cases'!$H$10:$H$94,0),1)=1,1,"-"),"-")</f>
        <v>1</v>
      </c>
      <c r="B452" s="555" t="s">
        <v>558</v>
      </c>
      <c r="C452" s="556" t="str">
        <f>IF('Weather Cases'!$E$40=0,"","DC/SC")</f>
        <v>DC/SC</v>
      </c>
      <c r="D452" s="556" t="s">
        <v>585</v>
      </c>
      <c r="E452" s="556" t="s">
        <v>22</v>
      </c>
      <c r="F452" s="556" t="s">
        <v>22</v>
      </c>
      <c r="G452" s="556" t="str">
        <f>IFERROR(IF(MID('Load Criteria'!X452,FIND("_",'Load Criteria'!X452,1)+1,1)=LEFT(Control!$D$23,1),"YES","-"),"-")</f>
        <v>-</v>
      </c>
      <c r="H452" s="549" t="str">
        <f>IF(INDEX('Weather Cases'!$G$10:$G$94,MATCH('Load Criteria'!X452,'Weather Cases'!$H$10:$H$94,0),1)="H","YES","-")</f>
        <v>YES</v>
      </c>
      <c r="I452" s="557" t="s">
        <v>585</v>
      </c>
      <c r="J452" s="508" t="s">
        <v>589</v>
      </c>
      <c r="K452" s="508" t="s">
        <v>88</v>
      </c>
      <c r="L452" s="508"/>
      <c r="M452" s="508"/>
      <c r="N452" s="508"/>
      <c r="O452" s="508"/>
      <c r="P452" s="395"/>
      <c r="Q452" s="395"/>
      <c r="R452" s="395"/>
      <c r="S452" s="395"/>
      <c r="T452" s="395"/>
      <c r="U452" s="255" t="s">
        <v>574</v>
      </c>
      <c r="V452" s="551" t="s">
        <v>300</v>
      </c>
      <c r="W452" s="542" t="str">
        <f>X452&amp;"+"&amp;K452&amp;IF(L452="","",CONCATENATE(L452,M452,N452,O452))&amp;" "&amp;U452</f>
        <v>CM3I_8+E NA-</v>
      </c>
      <c r="X452" s="552" t="str">
        <f>I452&amp;TEXT(J452,"0000")&amp;"_"&amp;LEFT(Control!$D$22,LEN(Control!$D$22)-2)</f>
        <v>CM3I_8</v>
      </c>
      <c r="Y452" s="552" t="s">
        <v>433</v>
      </c>
      <c r="Z452" s="552" t="str">
        <f t="shared" si="695"/>
        <v>NA-</v>
      </c>
      <c r="AA452" s="552"/>
      <c r="AB452" s="552">
        <v>1</v>
      </c>
      <c r="AC452" s="552">
        <v>1</v>
      </c>
      <c r="AD452" s="552">
        <v>1</v>
      </c>
      <c r="AE452" s="552">
        <v>1</v>
      </c>
      <c r="AF452" s="552">
        <v>1</v>
      </c>
      <c r="AG452" s="542" t="s">
        <v>561</v>
      </c>
      <c r="AH452" s="552">
        <v>0</v>
      </c>
      <c r="AI452" s="552">
        <v>0</v>
      </c>
      <c r="AJ452" s="552">
        <v>1</v>
      </c>
      <c r="AK452" s="552">
        <v>1</v>
      </c>
      <c r="AL452" s="552">
        <v>1</v>
      </c>
      <c r="AM452" s="552">
        <v>0</v>
      </c>
      <c r="AN452" s="552">
        <v>0</v>
      </c>
      <c r="AO452" s="552">
        <v>1</v>
      </c>
      <c r="AP452" s="552">
        <v>1</v>
      </c>
      <c r="AQ452" s="552">
        <v>1</v>
      </c>
      <c r="AR452" s="552">
        <v>1</v>
      </c>
      <c r="AS452" s="552">
        <v>1</v>
      </c>
      <c r="AT452" s="552">
        <v>1</v>
      </c>
      <c r="AU452" s="552">
        <v>1</v>
      </c>
      <c r="AV452" s="553" t="str">
        <f>IF(H452="YES","'"&amp;INDEX('Structure Groups'!$C$12:$C$14,MATCH('Load Criteria'!$B$5,'Structure Groups'!$B$12:$B$14,0),1)&amp;"'","'All'")</f>
        <v>'GL Max 800m'</v>
      </c>
      <c r="AW452" s="552" t="s">
        <v>562</v>
      </c>
      <c r="AX452" s="552"/>
      <c r="AY452" s="552" t="str">
        <f t="shared" si="696"/>
        <v>No</v>
      </c>
      <c r="AZ452" s="554" t="str">
        <f t="shared" ref="AZ452" si="752">IF(AY452="No","",IF(L452="A","Ahead Spans","Back Spans"))</f>
        <v/>
      </c>
      <c r="BA452" s="554" t="str">
        <f t="shared" ref="BA452" si="753">IF(AZ452="","","% Wire Wind Pressure")</f>
        <v/>
      </c>
      <c r="BB452" s="552" t="str">
        <f t="shared" ref="BB452" si="754">IF(AZ452="","",75)</f>
        <v/>
      </c>
      <c r="BC452" s="554"/>
      <c r="BD452" s="554"/>
      <c r="BE452" s="552"/>
      <c r="BF452" s="554"/>
      <c r="BG452" s="554"/>
      <c r="BH452" s="552"/>
      <c r="BI452" s="554"/>
      <c r="BJ452" s="554"/>
      <c r="BK452" s="552"/>
      <c r="BL452" s="554"/>
      <c r="BM452" s="554"/>
      <c r="BN452" s="552"/>
      <c r="BO452" s="554"/>
      <c r="BP452" s="554"/>
      <c r="BQ452" s="552"/>
      <c r="BR452" s="554"/>
      <c r="BS452" s="554"/>
      <c r="BT452" s="554"/>
      <c r="BU452" s="554"/>
      <c r="BV452" s="554"/>
      <c r="BW452" s="554"/>
      <c r="BX452" s="554"/>
      <c r="BY452" s="554"/>
      <c r="BZ452" s="554"/>
      <c r="CA452" s="554"/>
      <c r="CB452" s="554"/>
      <c r="CC452" s="554"/>
      <c r="CD452" s="554"/>
      <c r="CE452" s="554"/>
      <c r="CF452" s="554"/>
      <c r="CG452" s="554"/>
      <c r="CH452" s="554"/>
      <c r="CI452" s="554"/>
      <c r="CJ452" s="554"/>
      <c r="CK452" s="554"/>
      <c r="CL452" s="554"/>
      <c r="CM452" s="554"/>
      <c r="CN452" s="554"/>
      <c r="CO452" s="554"/>
      <c r="CP452" s="554"/>
      <c r="CQ452" s="554"/>
      <c r="CR452" s="554"/>
      <c r="CS452" s="554"/>
      <c r="CT452" s="554"/>
      <c r="CU452" s="554"/>
      <c r="CV452" s="554"/>
      <c r="CW452" s="554"/>
      <c r="CX452" s="554"/>
      <c r="CY452" s="554"/>
      <c r="CZ452" s="554"/>
      <c r="DA452" s="554"/>
      <c r="DB452" s="554"/>
      <c r="DC452" s="554"/>
      <c r="DD452" s="554"/>
      <c r="DE452" s="534"/>
      <c r="DF452" s="534"/>
      <c r="DG452" s="534"/>
    </row>
    <row r="453" spans="1:111" ht="15" x14ac:dyDescent="0.25">
      <c r="A453" s="549">
        <f>IFERROR(IF(INDEX('Weather Cases'!$E$10:$E$94,MATCH('Load Criteria'!X453,'Weather Cases'!$H$10:$H$94,0),1)=1,1,"-"),"-")</f>
        <v>1</v>
      </c>
      <c r="B453" s="555" t="s">
        <v>558</v>
      </c>
      <c r="C453" s="556" t="str">
        <f>IF('Weather Cases'!$E$40=0,"","DC/SC")</f>
        <v>DC/SC</v>
      </c>
      <c r="D453" s="556" t="s">
        <v>585</v>
      </c>
      <c r="E453" s="556" t="s">
        <v>22</v>
      </c>
      <c r="F453" s="556" t="s">
        <v>22</v>
      </c>
      <c r="G453" s="556" t="str">
        <f>IFERROR(IF(MID('Load Criteria'!X453,FIND("_",'Load Criteria'!X453,1)+1,1)=LEFT(Control!$D$23,1),"YES","-"),"-")</f>
        <v>-</v>
      </c>
      <c r="H453" s="549" t="str">
        <f>IF(INDEX('Weather Cases'!$G$10:$G$94,MATCH('Load Criteria'!X453,'Weather Cases'!$H$10:$H$94,0),1)="H","YES","-")</f>
        <v>YES</v>
      </c>
      <c r="I453" s="557" t="s">
        <v>585</v>
      </c>
      <c r="J453" s="508" t="s">
        <v>589</v>
      </c>
      <c r="K453" s="508" t="s">
        <v>60</v>
      </c>
      <c r="L453" s="508" t="s">
        <v>24</v>
      </c>
      <c r="M453" s="508"/>
      <c r="N453" s="508"/>
      <c r="O453" s="508"/>
      <c r="P453" s="395"/>
      <c r="Q453" s="395"/>
      <c r="R453" s="395"/>
      <c r="S453" s="395"/>
      <c r="T453" s="395"/>
      <c r="U453" s="255" t="s">
        <v>568</v>
      </c>
      <c r="V453" s="551" t="s">
        <v>300</v>
      </c>
      <c r="W453" s="588" t="str">
        <f t="shared" ref="W453" si="755">X453&amp;"+"&amp;K453&amp;IF(L453="","",CONCATENATE(L453,M453,N453,O453))&amp;" "&amp;U453</f>
        <v>CM3I_8+DA NA+</v>
      </c>
      <c r="X453" s="552" t="str">
        <f>I453&amp;TEXT(J453,"0000")&amp;"_"&amp;LEFT(Control!$D$22,LEN(Control!$D$22)-2)</f>
        <v>CM3I_8</v>
      </c>
      <c r="Y453" s="552" t="s">
        <v>433</v>
      </c>
      <c r="Z453" s="552" t="str">
        <f t="shared" ref="Z453" si="756">U453</f>
        <v>NA+</v>
      </c>
      <c r="AA453" s="552"/>
      <c r="AB453" s="552">
        <v>1</v>
      </c>
      <c r="AC453" s="552">
        <v>1</v>
      </c>
      <c r="AD453" s="552">
        <v>1</v>
      </c>
      <c r="AE453" s="552">
        <v>1</v>
      </c>
      <c r="AF453" s="552">
        <v>1</v>
      </c>
      <c r="AG453" s="542" t="s">
        <v>561</v>
      </c>
      <c r="AH453" s="552">
        <v>0</v>
      </c>
      <c r="AI453" s="552">
        <v>0</v>
      </c>
      <c r="AJ453" s="552">
        <v>1</v>
      </c>
      <c r="AK453" s="552">
        <v>1</v>
      </c>
      <c r="AL453" s="552">
        <v>1</v>
      </c>
      <c r="AM453" s="552">
        <v>0</v>
      </c>
      <c r="AN453" s="552">
        <v>0</v>
      </c>
      <c r="AO453" s="552">
        <v>1</v>
      </c>
      <c r="AP453" s="552">
        <v>1</v>
      </c>
      <c r="AQ453" s="552">
        <v>1</v>
      </c>
      <c r="AR453" s="552">
        <v>1</v>
      </c>
      <c r="AS453" s="552">
        <v>1</v>
      </c>
      <c r="AT453" s="552">
        <v>1</v>
      </c>
      <c r="AU453" s="552">
        <v>1</v>
      </c>
      <c r="AV453" s="553" t="str">
        <f>IF(H453="YES","'"&amp;INDEX('Structure Groups'!$C$12:$C$14,MATCH('Load Criteria'!$B$5,'Structure Groups'!$B$12:$B$14,0),1)&amp;"'","'All'")</f>
        <v>'GL Max 800m'</v>
      </c>
      <c r="AW453" s="552" t="s">
        <v>562</v>
      </c>
      <c r="AX453" s="552"/>
      <c r="AY453" s="552" t="str">
        <f t="shared" ref="AY453" si="757">IF(L453="","No","Yes")</f>
        <v>Yes</v>
      </c>
      <c r="AZ453" s="554" t="str">
        <f>IF($AY453="No","",IF($L453="A","Ahead Spans","Back Spans"))</f>
        <v>Ahead Spans</v>
      </c>
      <c r="BA453" s="554" t="str">
        <f>IF(AZ453="","","% Wire Ice")</f>
        <v>% Wire Ice</v>
      </c>
      <c r="BB453" s="552">
        <f>IF(AZ453="","",40)</f>
        <v>40</v>
      </c>
      <c r="BC453" s="554" t="str">
        <f>IF($AY453="No","",IF($L453="A","Back Spans","Ahead Spans"))</f>
        <v>Back Spans</v>
      </c>
      <c r="BD453" s="554" t="str">
        <f t="shared" ref="BD453" si="758">IF(BC453="","","% Wire Ice")</f>
        <v>% Wire Ice</v>
      </c>
      <c r="BE453" s="552">
        <f>IF(BB453="","",70)</f>
        <v>70</v>
      </c>
      <c r="BF453" s="554"/>
      <c r="BG453" s="554"/>
      <c r="BH453" s="552"/>
      <c r="BI453" s="554"/>
      <c r="BJ453" s="554"/>
      <c r="BK453" s="552"/>
      <c r="BL453" s="554"/>
      <c r="BM453" s="554"/>
      <c r="BN453" s="552"/>
      <c r="BO453" s="554"/>
      <c r="BP453" s="554"/>
      <c r="BQ453" s="552"/>
      <c r="BR453" s="554"/>
      <c r="BS453" s="554"/>
      <c r="BT453" s="554"/>
      <c r="BU453" s="554"/>
      <c r="BV453" s="554"/>
      <c r="BW453" s="554"/>
      <c r="BX453" s="554"/>
      <c r="BY453" s="554"/>
      <c r="BZ453" s="554"/>
      <c r="CA453" s="554"/>
      <c r="CB453" s="554"/>
      <c r="CC453" s="554"/>
      <c r="CD453" s="554"/>
      <c r="CE453" s="554"/>
      <c r="CF453" s="554"/>
      <c r="CG453" s="554"/>
      <c r="CH453" s="554"/>
      <c r="CI453" s="554"/>
      <c r="CJ453" s="554"/>
      <c r="CK453" s="554"/>
      <c r="CL453" s="554"/>
      <c r="CM453" s="554"/>
      <c r="CN453" s="554"/>
      <c r="CO453" s="554"/>
      <c r="CP453" s="554"/>
      <c r="CQ453" s="554"/>
      <c r="CR453" s="554"/>
      <c r="CS453" s="554"/>
      <c r="CT453" s="554"/>
      <c r="CU453" s="554"/>
      <c r="CV453" s="554"/>
      <c r="CW453" s="554"/>
      <c r="CX453" s="554"/>
      <c r="CY453" s="554"/>
      <c r="CZ453" s="554"/>
      <c r="DA453" s="554"/>
      <c r="DB453" s="554"/>
      <c r="DC453" s="554"/>
      <c r="DD453" s="554"/>
      <c r="DE453" s="534"/>
      <c r="DF453" s="534"/>
      <c r="DG453" s="534"/>
    </row>
    <row r="454" spans="1:111" ht="15" x14ac:dyDescent="0.25">
      <c r="A454" s="549">
        <f>IFERROR(IF(INDEX('Weather Cases'!$E$10:$E$94,MATCH('Load Criteria'!X454,'Weather Cases'!$H$10:$H$94,0),1)=1,1,"-"),"-")</f>
        <v>1</v>
      </c>
      <c r="B454" s="555" t="s">
        <v>558</v>
      </c>
      <c r="C454" s="556" t="str">
        <f>IF('Weather Cases'!$E$40=0,"","DC/SC")</f>
        <v>DC/SC</v>
      </c>
      <c r="D454" s="556" t="s">
        <v>585</v>
      </c>
      <c r="E454" s="556" t="s">
        <v>22</v>
      </c>
      <c r="F454" s="556" t="s">
        <v>22</v>
      </c>
      <c r="G454" s="556" t="str">
        <f>IFERROR(IF(MID('Load Criteria'!X454,FIND("_",'Load Criteria'!X454,1)+1,1)=LEFT(Control!$D$23,1),"YES","-"),"-")</f>
        <v>-</v>
      </c>
      <c r="H454" s="549" t="str">
        <f>IF(INDEX('Weather Cases'!$G$10:$G$94,MATCH('Load Criteria'!X454,'Weather Cases'!$H$10:$H$94,0),1)="H","YES","-")</f>
        <v>YES</v>
      </c>
      <c r="I454" s="557" t="s">
        <v>585</v>
      </c>
      <c r="J454" s="508" t="s">
        <v>589</v>
      </c>
      <c r="K454" s="508" t="s">
        <v>60</v>
      </c>
      <c r="L454" s="508" t="s">
        <v>24</v>
      </c>
      <c r="M454" s="508"/>
      <c r="N454" s="508"/>
      <c r="O454" s="508"/>
      <c r="P454" s="395"/>
      <c r="Q454" s="395"/>
      <c r="R454" s="395"/>
      <c r="S454" s="395"/>
      <c r="T454" s="395"/>
      <c r="U454" s="255" t="s">
        <v>574</v>
      </c>
      <c r="V454" s="551" t="s">
        <v>300</v>
      </c>
      <c r="W454" s="542" t="str">
        <f t="shared" ref="W454:W456" si="759">X454&amp;"+"&amp;K454&amp;IF(L454="","",CONCATENATE(L454,M454,N454,O454))&amp;" "&amp;U454</f>
        <v>CM3I_8+DA NA-</v>
      </c>
      <c r="X454" s="552" t="str">
        <f>I454&amp;TEXT(J454,"0000")&amp;"_"&amp;LEFT(Control!$D$22,LEN(Control!$D$22)-2)</f>
        <v>CM3I_8</v>
      </c>
      <c r="Y454" s="552" t="s">
        <v>433</v>
      </c>
      <c r="Z454" s="552" t="str">
        <f t="shared" si="695"/>
        <v>NA-</v>
      </c>
      <c r="AA454" s="552"/>
      <c r="AB454" s="552">
        <v>1</v>
      </c>
      <c r="AC454" s="552">
        <v>1</v>
      </c>
      <c r="AD454" s="552">
        <v>1</v>
      </c>
      <c r="AE454" s="552">
        <v>1</v>
      </c>
      <c r="AF454" s="552">
        <v>1</v>
      </c>
      <c r="AG454" s="542" t="s">
        <v>561</v>
      </c>
      <c r="AH454" s="552">
        <v>0</v>
      </c>
      <c r="AI454" s="552">
        <v>0</v>
      </c>
      <c r="AJ454" s="552">
        <v>1</v>
      </c>
      <c r="AK454" s="552">
        <v>1</v>
      </c>
      <c r="AL454" s="552">
        <v>1</v>
      </c>
      <c r="AM454" s="552">
        <v>0</v>
      </c>
      <c r="AN454" s="552">
        <v>0</v>
      </c>
      <c r="AO454" s="552">
        <v>1</v>
      </c>
      <c r="AP454" s="552">
        <v>1</v>
      </c>
      <c r="AQ454" s="552">
        <v>1</v>
      </c>
      <c r="AR454" s="552">
        <v>1</v>
      </c>
      <c r="AS454" s="552">
        <v>1</v>
      </c>
      <c r="AT454" s="552">
        <v>1</v>
      </c>
      <c r="AU454" s="552">
        <v>1</v>
      </c>
      <c r="AV454" s="553" t="str">
        <f>IF(H454="YES","'"&amp;INDEX('Structure Groups'!$C$12:$C$14,MATCH('Load Criteria'!$B$5,'Structure Groups'!$B$12:$B$14,0),1)&amp;"'","'All'")</f>
        <v>'GL Max 800m'</v>
      </c>
      <c r="AW454" s="552" t="s">
        <v>562</v>
      </c>
      <c r="AX454" s="552"/>
      <c r="AY454" s="552" t="str">
        <f t="shared" si="696"/>
        <v>Yes</v>
      </c>
      <c r="AZ454" s="554" t="str">
        <f>IF($AY454="No","",IF($L454="A","Ahead Spans","Back Spans"))</f>
        <v>Ahead Spans</v>
      </c>
      <c r="BA454" s="554" t="str">
        <f>IF(AZ454="","","% Wire Ice")</f>
        <v>% Wire Ice</v>
      </c>
      <c r="BB454" s="552">
        <f>IF(AZ454="","",40)</f>
        <v>40</v>
      </c>
      <c r="BC454" s="554" t="str">
        <f>IF($AY454="No","",IF($L454="A","Back Spans","Ahead Spans"))</f>
        <v>Back Spans</v>
      </c>
      <c r="BD454" s="554" t="str">
        <f t="shared" ref="BD454:BD456" si="760">IF(BC454="","","% Wire Ice")</f>
        <v>% Wire Ice</v>
      </c>
      <c r="BE454" s="552">
        <f>IF(BB454="","",70)</f>
        <v>70</v>
      </c>
      <c r="BF454" s="554"/>
      <c r="BG454" s="554"/>
      <c r="BH454" s="552"/>
      <c r="BI454" s="554"/>
      <c r="BJ454" s="554"/>
      <c r="BK454" s="552"/>
      <c r="BL454" s="554"/>
      <c r="BM454" s="554"/>
      <c r="BN454" s="552"/>
      <c r="BO454" s="554"/>
      <c r="BP454" s="554"/>
      <c r="BQ454" s="552"/>
      <c r="BR454" s="554"/>
      <c r="BS454" s="554"/>
      <c r="BT454" s="554"/>
      <c r="BU454" s="554"/>
      <c r="BV454" s="554"/>
      <c r="BW454" s="554"/>
      <c r="BX454" s="554"/>
      <c r="BY454" s="554"/>
      <c r="BZ454" s="554"/>
      <c r="CA454" s="554"/>
      <c r="CB454" s="554"/>
      <c r="CC454" s="554"/>
      <c r="CD454" s="554"/>
      <c r="CE454" s="554"/>
      <c r="CF454" s="554"/>
      <c r="CG454" s="554"/>
      <c r="CH454" s="554"/>
      <c r="CI454" s="554"/>
      <c r="CJ454" s="554"/>
      <c r="CK454" s="554"/>
      <c r="CL454" s="554"/>
      <c r="CM454" s="554"/>
      <c r="CN454" s="554"/>
      <c r="CO454" s="554"/>
      <c r="CP454" s="554"/>
      <c r="CQ454" s="554"/>
      <c r="CR454" s="554"/>
      <c r="CS454" s="554"/>
      <c r="CT454" s="554"/>
      <c r="CU454" s="554"/>
      <c r="CV454" s="554"/>
      <c r="CW454" s="554"/>
      <c r="CX454" s="554"/>
      <c r="CY454" s="554"/>
      <c r="CZ454" s="554"/>
      <c r="DA454" s="554"/>
      <c r="DB454" s="554"/>
      <c r="DC454" s="554"/>
      <c r="DD454" s="554"/>
      <c r="DE454" s="534"/>
      <c r="DF454" s="534"/>
      <c r="DG454" s="534"/>
    </row>
    <row r="455" spans="1:111" ht="15" x14ac:dyDescent="0.25">
      <c r="A455" s="549">
        <f>IFERROR(IF(INDEX('Weather Cases'!$E$10:$E$94,MATCH('Load Criteria'!X455,'Weather Cases'!$H$10:$H$94,0),1)=1,1,"-"),"-")</f>
        <v>1</v>
      </c>
      <c r="B455" s="555" t="s">
        <v>558</v>
      </c>
      <c r="C455" s="556" t="str">
        <f>IF('Weather Cases'!$E$40=0,"","DC/SC")</f>
        <v>DC/SC</v>
      </c>
      <c r="D455" s="556" t="s">
        <v>585</v>
      </c>
      <c r="E455" s="556" t="s">
        <v>22</v>
      </c>
      <c r="F455" s="556" t="s">
        <v>22</v>
      </c>
      <c r="G455" s="556" t="str">
        <f>IFERROR(IF(MID('Load Criteria'!X455,FIND("_",'Load Criteria'!X455,1)+1,1)=LEFT(Control!$D$23,1),"YES","-"),"-")</f>
        <v>-</v>
      </c>
      <c r="H455" s="549" t="str">
        <f>IF(INDEX('Weather Cases'!$G$10:$G$94,MATCH('Load Criteria'!X455,'Weather Cases'!$H$10:$H$94,0),1)="H","YES","-")</f>
        <v>YES</v>
      </c>
      <c r="I455" s="557" t="s">
        <v>585</v>
      </c>
      <c r="J455" s="508" t="s">
        <v>589</v>
      </c>
      <c r="K455" s="508" t="s">
        <v>60</v>
      </c>
      <c r="L455" s="508" t="s">
        <v>40</v>
      </c>
      <c r="M455" s="508"/>
      <c r="N455" s="508"/>
      <c r="O455" s="508"/>
      <c r="P455" s="395"/>
      <c r="Q455" s="395"/>
      <c r="R455" s="395"/>
      <c r="S455" s="395"/>
      <c r="T455" s="395"/>
      <c r="U455" s="255" t="s">
        <v>568</v>
      </c>
      <c r="V455" s="551" t="s">
        <v>300</v>
      </c>
      <c r="W455" s="588" t="str">
        <f t="shared" ref="W455" si="761">X455&amp;"+"&amp;K455&amp;IF(L455="","",CONCATENATE(L455,M455,N455,O455))&amp;" "&amp;U455</f>
        <v>CM3I_8+DB NA+</v>
      </c>
      <c r="X455" s="552" t="str">
        <f>I455&amp;TEXT(J455,"0000")&amp;"_"&amp;LEFT(Control!$D$22,LEN(Control!$D$22)-2)</f>
        <v>CM3I_8</v>
      </c>
      <c r="Y455" s="552" t="s">
        <v>433</v>
      </c>
      <c r="Z455" s="552" t="str">
        <f t="shared" ref="Z455" si="762">U455</f>
        <v>NA+</v>
      </c>
      <c r="AA455" s="552"/>
      <c r="AB455" s="552">
        <v>1</v>
      </c>
      <c r="AC455" s="552">
        <v>1</v>
      </c>
      <c r="AD455" s="552">
        <v>1</v>
      </c>
      <c r="AE455" s="552">
        <v>1</v>
      </c>
      <c r="AF455" s="552">
        <v>1</v>
      </c>
      <c r="AG455" s="542" t="s">
        <v>561</v>
      </c>
      <c r="AH455" s="552">
        <v>0</v>
      </c>
      <c r="AI455" s="552">
        <v>0</v>
      </c>
      <c r="AJ455" s="552">
        <v>1</v>
      </c>
      <c r="AK455" s="552">
        <v>1</v>
      </c>
      <c r="AL455" s="552">
        <v>1</v>
      </c>
      <c r="AM455" s="552">
        <v>0</v>
      </c>
      <c r="AN455" s="552">
        <v>0</v>
      </c>
      <c r="AO455" s="552">
        <v>1</v>
      </c>
      <c r="AP455" s="552">
        <v>1</v>
      </c>
      <c r="AQ455" s="552">
        <v>1</v>
      </c>
      <c r="AR455" s="552">
        <v>1</v>
      </c>
      <c r="AS455" s="552">
        <v>1</v>
      </c>
      <c r="AT455" s="552">
        <v>1</v>
      </c>
      <c r="AU455" s="552">
        <v>1</v>
      </c>
      <c r="AV455" s="553" t="str">
        <f>IF(H455="YES","'"&amp;INDEX('Structure Groups'!$C$12:$C$14,MATCH('Load Criteria'!$B$5,'Structure Groups'!$B$12:$B$14,0),1)&amp;"'","'All'")</f>
        <v>'GL Max 800m'</v>
      </c>
      <c r="AW455" s="552" t="s">
        <v>562</v>
      </c>
      <c r="AX455" s="552"/>
      <c r="AY455" s="552" t="str">
        <f t="shared" ref="AY455" si="763">IF(L455="","No","Yes")</f>
        <v>Yes</v>
      </c>
      <c r="AZ455" s="554" t="str">
        <f>IF($AY455="No","",IF($L455="A","Ahead Spans","Back Spans"))</f>
        <v>Back Spans</v>
      </c>
      <c r="BA455" s="554" t="str">
        <f>IF(AZ455="","","% Wire Ice")</f>
        <v>% Wire Ice</v>
      </c>
      <c r="BB455" s="552">
        <f>IF(AZ455="","",40)</f>
        <v>40</v>
      </c>
      <c r="BC455" s="554" t="str">
        <f>IF($AY455="No","",IF($L455="A","Back Spans","Ahead Spans"))</f>
        <v>Ahead Spans</v>
      </c>
      <c r="BD455" s="554" t="str">
        <f t="shared" ref="BD455" si="764">IF(BC455="","","% Wire Ice")</f>
        <v>% Wire Ice</v>
      </c>
      <c r="BE455" s="552">
        <f>IF(BB455="","",70)</f>
        <v>70</v>
      </c>
      <c r="BF455" s="554"/>
      <c r="BG455" s="554"/>
      <c r="BH455" s="552"/>
      <c r="BI455" s="554"/>
      <c r="BJ455" s="554"/>
      <c r="BK455" s="552"/>
      <c r="BL455" s="554"/>
      <c r="BM455" s="554"/>
      <c r="BN455" s="552"/>
      <c r="BO455" s="554"/>
      <c r="BP455" s="554"/>
      <c r="BQ455" s="552"/>
      <c r="BR455" s="554"/>
      <c r="BS455" s="554"/>
      <c r="BT455" s="554"/>
      <c r="BU455" s="554"/>
      <c r="BV455" s="554"/>
      <c r="BW455" s="554"/>
      <c r="BX455" s="554"/>
      <c r="BY455" s="554"/>
      <c r="BZ455" s="554"/>
      <c r="CA455" s="554"/>
      <c r="CB455" s="554"/>
      <c r="CC455" s="554"/>
      <c r="CD455" s="554"/>
      <c r="CE455" s="554"/>
      <c r="CF455" s="554"/>
      <c r="CG455" s="554"/>
      <c r="CH455" s="554"/>
      <c r="CI455" s="554"/>
      <c r="CJ455" s="554"/>
      <c r="CK455" s="554"/>
      <c r="CL455" s="554"/>
      <c r="CM455" s="554"/>
      <c r="CN455" s="554"/>
      <c r="CO455" s="554"/>
      <c r="CP455" s="554"/>
      <c r="CQ455" s="554"/>
      <c r="CR455" s="554"/>
      <c r="CS455" s="554"/>
      <c r="CT455" s="554"/>
      <c r="CU455" s="554"/>
      <c r="CV455" s="554"/>
      <c r="CW455" s="554"/>
      <c r="CX455" s="554"/>
      <c r="CY455" s="554"/>
      <c r="CZ455" s="554"/>
      <c r="DA455" s="554"/>
      <c r="DB455" s="554"/>
      <c r="DC455" s="554"/>
      <c r="DD455" s="554"/>
      <c r="DE455" s="534"/>
      <c r="DF455" s="534"/>
      <c r="DG455" s="534"/>
    </row>
    <row r="456" spans="1:111" ht="15" x14ac:dyDescent="0.25">
      <c r="A456" s="549">
        <f>IFERROR(IF(INDEX('Weather Cases'!$E$10:$E$94,MATCH('Load Criteria'!X456,'Weather Cases'!$H$10:$H$94,0),1)=1,1,"-"),"-")</f>
        <v>1</v>
      </c>
      <c r="B456" s="555" t="s">
        <v>558</v>
      </c>
      <c r="C456" s="556" t="str">
        <f>IF('Weather Cases'!$E$40=0,"","DC/SC")</f>
        <v>DC/SC</v>
      </c>
      <c r="D456" s="556" t="s">
        <v>585</v>
      </c>
      <c r="E456" s="556" t="s">
        <v>22</v>
      </c>
      <c r="F456" s="556" t="s">
        <v>22</v>
      </c>
      <c r="G456" s="556" t="str">
        <f>IFERROR(IF(MID('Load Criteria'!X456,FIND("_",'Load Criteria'!X456,1)+1,1)=LEFT(Control!$D$23,1),"YES","-"),"-")</f>
        <v>-</v>
      </c>
      <c r="H456" s="549" t="str">
        <f>IF(INDEX('Weather Cases'!$G$10:$G$94,MATCH('Load Criteria'!X456,'Weather Cases'!$H$10:$H$94,0),1)="H","YES","-")</f>
        <v>YES</v>
      </c>
      <c r="I456" s="557" t="s">
        <v>585</v>
      </c>
      <c r="J456" s="508" t="s">
        <v>589</v>
      </c>
      <c r="K456" s="508" t="s">
        <v>60</v>
      </c>
      <c r="L456" s="508" t="s">
        <v>40</v>
      </c>
      <c r="M456" s="508"/>
      <c r="N456" s="508"/>
      <c r="O456" s="508"/>
      <c r="P456" s="395"/>
      <c r="Q456" s="395"/>
      <c r="R456" s="395"/>
      <c r="S456" s="395"/>
      <c r="T456" s="395"/>
      <c r="U456" s="255" t="s">
        <v>574</v>
      </c>
      <c r="V456" s="551" t="s">
        <v>300</v>
      </c>
      <c r="W456" s="542" t="str">
        <f t="shared" si="759"/>
        <v>CM3I_8+DB NA-</v>
      </c>
      <c r="X456" s="552" t="str">
        <f>I456&amp;TEXT(J456,"0000")&amp;"_"&amp;LEFT(Control!$D$22,LEN(Control!$D$22)-2)</f>
        <v>CM3I_8</v>
      </c>
      <c r="Y456" s="552" t="s">
        <v>433</v>
      </c>
      <c r="Z456" s="552" t="str">
        <f t="shared" si="695"/>
        <v>NA-</v>
      </c>
      <c r="AA456" s="552"/>
      <c r="AB456" s="552">
        <v>1</v>
      </c>
      <c r="AC456" s="552">
        <v>1</v>
      </c>
      <c r="AD456" s="552">
        <v>1</v>
      </c>
      <c r="AE456" s="552">
        <v>1</v>
      </c>
      <c r="AF456" s="552">
        <v>1</v>
      </c>
      <c r="AG456" s="542" t="s">
        <v>561</v>
      </c>
      <c r="AH456" s="552">
        <v>0</v>
      </c>
      <c r="AI456" s="552">
        <v>0</v>
      </c>
      <c r="AJ456" s="552">
        <v>1</v>
      </c>
      <c r="AK456" s="552">
        <v>1</v>
      </c>
      <c r="AL456" s="552">
        <v>1</v>
      </c>
      <c r="AM456" s="552">
        <v>0</v>
      </c>
      <c r="AN456" s="552">
        <v>0</v>
      </c>
      <c r="AO456" s="552">
        <v>1</v>
      </c>
      <c r="AP456" s="552">
        <v>1</v>
      </c>
      <c r="AQ456" s="552">
        <v>1</v>
      </c>
      <c r="AR456" s="552">
        <v>1</v>
      </c>
      <c r="AS456" s="552">
        <v>1</v>
      </c>
      <c r="AT456" s="552">
        <v>1</v>
      </c>
      <c r="AU456" s="552">
        <v>1</v>
      </c>
      <c r="AV456" s="553" t="str">
        <f>IF(H456="YES","'"&amp;INDEX('Structure Groups'!$C$12:$C$14,MATCH('Load Criteria'!$B$5,'Structure Groups'!$B$12:$B$14,0),1)&amp;"'","'All'")</f>
        <v>'GL Max 800m'</v>
      </c>
      <c r="AW456" s="552" t="s">
        <v>562</v>
      </c>
      <c r="AX456" s="552"/>
      <c r="AY456" s="552" t="str">
        <f t="shared" si="696"/>
        <v>Yes</v>
      </c>
      <c r="AZ456" s="554" t="str">
        <f>IF($AY456="No","",IF($L456="A","Ahead Spans","Back Spans"))</f>
        <v>Back Spans</v>
      </c>
      <c r="BA456" s="554" t="str">
        <f>IF(AZ456="","","% Wire Ice")</f>
        <v>% Wire Ice</v>
      </c>
      <c r="BB456" s="552">
        <f>IF(AZ456="","",40)</f>
        <v>40</v>
      </c>
      <c r="BC456" s="554" t="str">
        <f>IF($AY456="No","",IF($L456="A","Back Spans","Ahead Spans"))</f>
        <v>Ahead Spans</v>
      </c>
      <c r="BD456" s="554" t="str">
        <f t="shared" si="760"/>
        <v>% Wire Ice</v>
      </c>
      <c r="BE456" s="552">
        <f>IF(BB456="","",70)</f>
        <v>70</v>
      </c>
      <c r="BF456" s="554"/>
      <c r="BG456" s="554"/>
      <c r="BH456" s="552"/>
      <c r="BI456" s="554"/>
      <c r="BJ456" s="554"/>
      <c r="BK456" s="552"/>
      <c r="BL456" s="554"/>
      <c r="BM456" s="554"/>
      <c r="BN456" s="552"/>
      <c r="BO456" s="554"/>
      <c r="BP456" s="554"/>
      <c r="BQ456" s="552"/>
      <c r="BR456" s="554"/>
      <c r="BS456" s="554"/>
      <c r="BT456" s="554"/>
      <c r="BU456" s="554"/>
      <c r="BV456" s="554"/>
      <c r="BW456" s="554"/>
      <c r="BX456" s="554"/>
      <c r="BY456" s="554"/>
      <c r="BZ456" s="554"/>
      <c r="CA456" s="554"/>
      <c r="CB456" s="554"/>
      <c r="CC456" s="554"/>
      <c r="CD456" s="554"/>
      <c r="CE456" s="554"/>
      <c r="CF456" s="554"/>
      <c r="CG456" s="554"/>
      <c r="CH456" s="554"/>
      <c r="CI456" s="554"/>
      <c r="CJ456" s="554"/>
      <c r="CK456" s="554"/>
      <c r="CL456" s="554"/>
      <c r="CM456" s="554"/>
      <c r="CN456" s="554"/>
      <c r="CO456" s="554"/>
      <c r="CP456" s="554"/>
      <c r="CQ456" s="554"/>
      <c r="CR456" s="554"/>
      <c r="CS456" s="554"/>
      <c r="CT456" s="554"/>
      <c r="CU456" s="554"/>
      <c r="CV456" s="554"/>
      <c r="CW456" s="554"/>
      <c r="CX456" s="554"/>
      <c r="CY456" s="554"/>
      <c r="CZ456" s="554"/>
      <c r="DA456" s="554"/>
      <c r="DB456" s="554"/>
      <c r="DC456" s="554"/>
      <c r="DD456" s="554"/>
      <c r="DE456" s="534"/>
      <c r="DF456" s="534"/>
      <c r="DG456" s="534"/>
    </row>
    <row r="457" spans="1:111" ht="15" hidden="1" x14ac:dyDescent="0.25">
      <c r="A457" s="549" t="s">
        <v>22</v>
      </c>
      <c r="B457" s="556" t="s">
        <v>22</v>
      </c>
      <c r="C457" s="556" t="s">
        <v>22</v>
      </c>
      <c r="D457" s="556" t="s">
        <v>22</v>
      </c>
      <c r="E457" s="556" t="s">
        <v>22</v>
      </c>
      <c r="F457" s="556" t="s">
        <v>22</v>
      </c>
      <c r="G457" s="556" t="str">
        <f>IFERROR(IF(MID('Load Criteria'!X457,FIND("_",'Load Criteria'!X457,1)+1,1)=LEFT(Control!$D$23,1),"YES","-"),"-")</f>
        <v>-</v>
      </c>
      <c r="H457" s="549" t="s">
        <v>22</v>
      </c>
      <c r="I457" s="256" t="s">
        <v>590</v>
      </c>
      <c r="J457" s="561"/>
      <c r="K457" s="561"/>
      <c r="L457" s="561"/>
      <c r="M457" s="561"/>
      <c r="N457" s="561"/>
      <c r="O457" s="561"/>
      <c r="P457" s="396"/>
      <c r="Q457" s="396"/>
      <c r="R457" s="396"/>
      <c r="S457" s="396"/>
      <c r="T457" s="396"/>
      <c r="U457" s="561"/>
      <c r="V457" s="561"/>
      <c r="W457" s="554"/>
      <c r="X457" s="554"/>
      <c r="Y457" s="554"/>
      <c r="Z457" s="554"/>
      <c r="AA457" s="554"/>
      <c r="AB457" s="554"/>
      <c r="AC457" s="554"/>
      <c r="AD457" s="554"/>
      <c r="AE457" s="554"/>
      <c r="AF457" s="554"/>
      <c r="AG457" s="554"/>
      <c r="AH457" s="554"/>
      <c r="AI457" s="554"/>
      <c r="AJ457" s="554"/>
      <c r="AK457" s="554"/>
      <c r="AL457" s="554"/>
      <c r="AM457" s="554"/>
      <c r="AN457" s="554"/>
      <c r="AO457" s="554"/>
      <c r="AP457" s="554"/>
      <c r="AQ457" s="554"/>
      <c r="AR457" s="554"/>
      <c r="AS457" s="554"/>
      <c r="AT457" s="554"/>
      <c r="AU457" s="554"/>
      <c r="AV457" s="553"/>
      <c r="AW457" s="554"/>
      <c r="AX457" s="554"/>
      <c r="AY457" s="554"/>
      <c r="AZ457" s="554"/>
      <c r="BA457" s="554"/>
      <c r="BB457" s="552"/>
      <c r="BC457" s="554"/>
      <c r="BD457" s="552"/>
      <c r="BE457" s="554"/>
      <c r="BF457" s="554"/>
      <c r="BG457" s="554"/>
      <c r="BH457" s="554"/>
      <c r="BI457" s="554"/>
      <c r="BJ457" s="554"/>
      <c r="BK457" s="554"/>
      <c r="BL457" s="554"/>
      <c r="BM457" s="554"/>
      <c r="BN457" s="554"/>
      <c r="BO457" s="554"/>
      <c r="BP457" s="554"/>
      <c r="BQ457" s="554"/>
      <c r="BR457" s="554"/>
      <c r="BS457" s="554"/>
      <c r="BT457" s="554"/>
      <c r="BU457" s="554"/>
      <c r="BV457" s="554"/>
      <c r="BW457" s="554"/>
      <c r="BX457" s="554"/>
      <c r="BY457" s="554"/>
      <c r="BZ457" s="554"/>
      <c r="CA457" s="554"/>
      <c r="CB457" s="554"/>
      <c r="CC457" s="554"/>
      <c r="CD457" s="554"/>
      <c r="CE457" s="554"/>
      <c r="CF457" s="554"/>
      <c r="CG457" s="554"/>
      <c r="CH457" s="554"/>
      <c r="CI457" s="554"/>
      <c r="CJ457" s="554"/>
      <c r="CK457" s="554"/>
      <c r="CL457" s="554"/>
      <c r="CM457" s="554"/>
      <c r="CN457" s="554"/>
      <c r="CO457" s="554"/>
      <c r="CP457" s="554"/>
      <c r="CQ457" s="554"/>
      <c r="CR457" s="554"/>
      <c r="CS457" s="554"/>
      <c r="CT457" s="554"/>
      <c r="CU457" s="554"/>
      <c r="CV457" s="554"/>
      <c r="CW457" s="554"/>
      <c r="CX457" s="554"/>
      <c r="CY457" s="554"/>
      <c r="CZ457" s="554"/>
      <c r="DA457" s="554"/>
      <c r="DB457" s="554"/>
      <c r="DC457" s="554"/>
      <c r="DD457" s="554"/>
      <c r="DE457" s="534"/>
      <c r="DF457" s="534"/>
      <c r="DG457" s="534"/>
    </row>
    <row r="458" spans="1:111" ht="15" x14ac:dyDescent="0.25">
      <c r="A458" s="549">
        <f>IFERROR(IF(INDEX('Weather Cases'!$E$10:$E$94,MATCH('Load Criteria'!X458,'Weather Cases'!$H$10:$H$94,0),1)=1,1,"-"),"-")</f>
        <v>1</v>
      </c>
      <c r="B458" s="555" t="s">
        <v>558</v>
      </c>
      <c r="C458" s="556" t="str">
        <f>IF('Weather Cases'!$E$40=0,"","DC/SC")</f>
        <v>DC/SC</v>
      </c>
      <c r="D458" s="556" t="s">
        <v>591</v>
      </c>
      <c r="E458" s="556" t="s">
        <v>22</v>
      </c>
      <c r="F458" s="556" t="s">
        <v>22</v>
      </c>
      <c r="G458" s="556" t="str">
        <f>IFERROR(IF(MID('Load Criteria'!X458,FIND("_",'Load Criteria'!X458,1)+1,1)=LEFT(Control!$D$23,1),"YES","-"),"-")</f>
        <v>YES</v>
      </c>
      <c r="H458" s="549" t="str">
        <f>IF(INDEX('Weather Cases'!$G$10:$G$94,MATCH('Load Criteria'!X458,'Weather Cases'!$H$10:$H$94,0),1)="H","YES","")</f>
        <v>YES</v>
      </c>
      <c r="I458" s="557" t="s">
        <v>408</v>
      </c>
      <c r="J458" s="508" t="s">
        <v>300</v>
      </c>
      <c r="K458" s="508"/>
      <c r="L458" s="508"/>
      <c r="M458" s="508"/>
      <c r="N458" s="508"/>
      <c r="O458" s="508"/>
      <c r="P458" s="395"/>
      <c r="Q458" s="395"/>
      <c r="R458" s="395"/>
      <c r="S458" s="395"/>
      <c r="T458" s="395"/>
      <c r="U458" s="255" t="s">
        <v>568</v>
      </c>
      <c r="V458" s="551"/>
      <c r="W458" s="542" t="str">
        <f t="shared" ref="W458:W469" si="765">X458&amp;"+"&amp;K458&amp;IF(L458="","",CONCATENATE(L458,M458,N458,O458))&amp;" "&amp;U458</f>
        <v>RCW_A8+ NA+</v>
      </c>
      <c r="X458" s="552" t="str">
        <f>I458&amp;TEXT(J458,"0")&amp;"_"&amp;LEFT(Control!$D$23,1)&amp;LEFT(Control!$D$22,LEN(Control!$D$22)-2)</f>
        <v>RCW_A8</v>
      </c>
      <c r="Y458" s="552" t="s">
        <v>433</v>
      </c>
      <c r="Z458" s="552" t="str">
        <f>U458</f>
        <v>NA+</v>
      </c>
      <c r="AA458" s="552"/>
      <c r="AB458" s="552">
        <v>1</v>
      </c>
      <c r="AC458" s="552">
        <v>1</v>
      </c>
      <c r="AD458" s="552">
        <v>1</v>
      </c>
      <c r="AE458" s="552">
        <v>1</v>
      </c>
      <c r="AF458" s="552">
        <v>1</v>
      </c>
      <c r="AG458" s="542" t="s">
        <v>561</v>
      </c>
      <c r="AH458" s="552">
        <v>0</v>
      </c>
      <c r="AI458" s="552">
        <v>0</v>
      </c>
      <c r="AJ458" s="552">
        <v>1</v>
      </c>
      <c r="AK458" s="552">
        <v>1</v>
      </c>
      <c r="AL458" s="552">
        <v>1</v>
      </c>
      <c r="AM458" s="552">
        <v>0</v>
      </c>
      <c r="AN458" s="552">
        <v>0</v>
      </c>
      <c r="AO458" s="552">
        <v>1</v>
      </c>
      <c r="AP458" s="552">
        <v>1</v>
      </c>
      <c r="AQ458" s="552">
        <v>1</v>
      </c>
      <c r="AR458" s="552">
        <v>1</v>
      </c>
      <c r="AS458" s="552">
        <v>1</v>
      </c>
      <c r="AT458" s="552">
        <v>1</v>
      </c>
      <c r="AU458" s="552">
        <v>1</v>
      </c>
      <c r="AV458" s="553" t="str">
        <f>IF(H458="YES","'"&amp;INDEX('Structure Groups'!$C$12:$C$14,MATCH('Load Criteria'!$B$5,'Structure Groups'!$B$12:$B$14,0),1)&amp;"'","'All'")</f>
        <v>'GL Max 800m'</v>
      </c>
      <c r="AW458" s="552" t="s">
        <v>562</v>
      </c>
      <c r="AX458" s="552"/>
      <c r="AY458" s="552" t="str">
        <f t="shared" ref="AY458:AY469" si="766">IF(L458="","No","Yes")</f>
        <v>No</v>
      </c>
      <c r="AZ458" s="554" t="str">
        <f t="shared" ref="AZ458:AZ469" si="767">IF($M458="","",$M458&amp;":1:"&amp;IF($L458="A","Ahead","Back"))</f>
        <v/>
      </c>
      <c r="BA458" s="554" t="str">
        <f t="shared" ref="BA458:BA469" si="768">IF(AZ458="","","Broken Wire (# Broken Subconductors)")</f>
        <v/>
      </c>
      <c r="BB458" s="552" t="str">
        <f>IF(AZ458="","",4)</f>
        <v/>
      </c>
      <c r="BC458" s="554" t="str">
        <f t="shared" ref="BC458:BC469" si="769">IF($M458="","",$M458+10&amp;":1:"&amp;IF($L458="A","Ahead","Back"))</f>
        <v/>
      </c>
      <c r="BD458" s="554" t="str">
        <f t="shared" ref="BD458:BD469" si="770">IF(BC458="","","Broken Wire (# Broken Subconductors)")</f>
        <v/>
      </c>
      <c r="BE458" s="552" t="str">
        <f>IF(BC458="","",4)</f>
        <v/>
      </c>
      <c r="BF458" s="554" t="str">
        <f t="shared" ref="BF458:BF469" si="771">IF($N458="","",$N458&amp;":1:"&amp;IF($L458="A","Back","Ahead"))</f>
        <v/>
      </c>
      <c r="BG458" s="554" t="str">
        <f t="shared" ref="BG458:BG469" si="772">IF(BF458="","","Broken Wire (# Broken Subconductors)")</f>
        <v/>
      </c>
      <c r="BH458" s="552" t="str">
        <f>IF(BF458="","",4)</f>
        <v/>
      </c>
      <c r="BI458" s="554" t="str">
        <f t="shared" ref="BI458:BI469" si="773">IF($N458="","",$N458+10&amp;":1:"&amp;IF($L458="A","Ahead","Back"))</f>
        <v/>
      </c>
      <c r="BJ458" s="554" t="str">
        <f t="shared" ref="BJ458:BJ469" si="774">IF(BI458="","","Broken Wire (# Broken Subconductors)")</f>
        <v/>
      </c>
      <c r="BK458" s="552" t="str">
        <f>IF(BI458="","",4)</f>
        <v/>
      </c>
      <c r="BL458" s="554" t="str">
        <f t="shared" ref="BL458:BL469" si="775">IF($O458="","",$O458&amp;":1:"&amp;IF($L458="A","Ahead","Back"))</f>
        <v/>
      </c>
      <c r="BM458" s="554" t="str">
        <f t="shared" ref="BM458:BM469" si="776">IF(BL458="","","Broken Wire (# Broken Subconductors)")</f>
        <v/>
      </c>
      <c r="BN458" s="552" t="str">
        <f>IF(BL458="","",4)</f>
        <v/>
      </c>
      <c r="BO458" s="554" t="str">
        <f t="shared" ref="BO458:BO469" si="777">IF($O458="","",$O458+10&amp;":1:"&amp;IF($L458="A","Ahead","Back"))</f>
        <v/>
      </c>
      <c r="BP458" s="554" t="str">
        <f t="shared" ref="BP458:BP469" si="778">IF(BO458="","","Broken Wire (# Broken Subconductors)")</f>
        <v/>
      </c>
      <c r="BQ458" s="552" t="str">
        <f>IF(BO458="","",4)</f>
        <v/>
      </c>
      <c r="BR458" s="554"/>
      <c r="BS458" s="554"/>
      <c r="BT458" s="554"/>
      <c r="BU458" s="554"/>
      <c r="BV458" s="554"/>
      <c r="BW458" s="554"/>
      <c r="BX458" s="554"/>
      <c r="BY458" s="554"/>
      <c r="BZ458" s="554"/>
      <c r="CA458" s="554"/>
      <c r="CB458" s="554"/>
      <c r="CC458" s="554"/>
      <c r="CD458" s="554"/>
      <c r="CE458" s="554"/>
      <c r="CF458" s="554"/>
      <c r="CG458" s="554"/>
      <c r="CH458" s="554"/>
      <c r="CI458" s="554"/>
      <c r="CJ458" s="554"/>
      <c r="CK458" s="554"/>
      <c r="CL458" s="554"/>
      <c r="CM458" s="554"/>
      <c r="CN458" s="554"/>
      <c r="CO458" s="554"/>
      <c r="CP458" s="554"/>
      <c r="CQ458" s="554"/>
      <c r="CR458" s="554"/>
      <c r="CS458" s="554"/>
      <c r="CT458" s="554"/>
      <c r="CU458" s="554"/>
      <c r="CV458" s="554"/>
      <c r="CW458" s="554"/>
      <c r="CX458" s="554"/>
      <c r="CY458" s="554"/>
      <c r="CZ458" s="554"/>
      <c r="DA458" s="554"/>
      <c r="DB458" s="554"/>
      <c r="DC458" s="554"/>
      <c r="DD458" s="554"/>
      <c r="DE458" s="534"/>
      <c r="DF458" s="534"/>
      <c r="DG458" s="534"/>
    </row>
    <row r="459" spans="1:111" ht="15" x14ac:dyDescent="0.25">
      <c r="A459" s="549">
        <f>IFERROR(IF(INDEX('Weather Cases'!$E$10:$E$94,MATCH('Load Criteria'!X459,'Weather Cases'!$H$10:$H$94,0),1)=1,1,"-"),"-")</f>
        <v>1</v>
      </c>
      <c r="B459" s="555" t="s">
        <v>558</v>
      </c>
      <c r="C459" s="556" t="str">
        <f>IF('Weather Cases'!$E$40=0,"","DC/SC")</f>
        <v>DC/SC</v>
      </c>
      <c r="D459" s="556" t="s">
        <v>591</v>
      </c>
      <c r="E459" s="556" t="s">
        <v>22</v>
      </c>
      <c r="F459" s="556" t="s">
        <v>22</v>
      </c>
      <c r="G459" s="556" t="str">
        <f>IFERROR(IF(MID('Load Criteria'!X459,FIND("_",'Load Criteria'!X459,1)+1,1)=LEFT(Control!$D$23,1),"YES","-"),"-")</f>
        <v>YES</v>
      </c>
      <c r="H459" s="549" t="str">
        <f>IF(INDEX('Weather Cases'!$G$10:$G$94,MATCH('Load Criteria'!X459,'Weather Cases'!$H$10:$H$94,0),1)="H","YES","")</f>
        <v>YES</v>
      </c>
      <c r="I459" s="557" t="s">
        <v>408</v>
      </c>
      <c r="J459" s="508" t="s">
        <v>300</v>
      </c>
      <c r="K459" s="508"/>
      <c r="L459" s="508"/>
      <c r="M459" s="508"/>
      <c r="N459" s="508"/>
      <c r="O459" s="508"/>
      <c r="P459" s="395"/>
      <c r="Q459" s="395"/>
      <c r="R459" s="395"/>
      <c r="S459" s="395"/>
      <c r="T459" s="395"/>
      <c r="U459" s="255" t="s">
        <v>574</v>
      </c>
      <c r="V459" s="551"/>
      <c r="W459" s="542" t="str">
        <f t="shared" si="765"/>
        <v>RCW_A8+ NA-</v>
      </c>
      <c r="X459" s="552" t="str">
        <f>I459&amp;TEXT(J459,"0")&amp;"_"&amp;LEFT(Control!$D$23,1)&amp;LEFT(Control!$D$22,LEN(Control!$D$22)-2)</f>
        <v>RCW_A8</v>
      </c>
      <c r="Y459" s="552" t="s">
        <v>433</v>
      </c>
      <c r="Z459" s="552" t="str">
        <f t="shared" ref="Z459:Z469" si="779">U459</f>
        <v>NA-</v>
      </c>
      <c r="AA459" s="552"/>
      <c r="AB459" s="552">
        <v>1</v>
      </c>
      <c r="AC459" s="552">
        <v>1</v>
      </c>
      <c r="AD459" s="552">
        <v>1</v>
      </c>
      <c r="AE459" s="552">
        <v>1</v>
      </c>
      <c r="AF459" s="552">
        <v>1</v>
      </c>
      <c r="AG459" s="542" t="s">
        <v>561</v>
      </c>
      <c r="AH459" s="552">
        <v>0</v>
      </c>
      <c r="AI459" s="552">
        <v>0</v>
      </c>
      <c r="AJ459" s="552">
        <v>1</v>
      </c>
      <c r="AK459" s="552">
        <v>1</v>
      </c>
      <c r="AL459" s="552">
        <v>1</v>
      </c>
      <c r="AM459" s="552">
        <v>0</v>
      </c>
      <c r="AN459" s="552">
        <v>0</v>
      </c>
      <c r="AO459" s="552">
        <v>1</v>
      </c>
      <c r="AP459" s="552">
        <v>1</v>
      </c>
      <c r="AQ459" s="552">
        <v>1</v>
      </c>
      <c r="AR459" s="552">
        <v>1</v>
      </c>
      <c r="AS459" s="552">
        <v>1</v>
      </c>
      <c r="AT459" s="552">
        <v>1</v>
      </c>
      <c r="AU459" s="552">
        <v>1</v>
      </c>
      <c r="AV459" s="553" t="str">
        <f>IF(H459="YES","'"&amp;INDEX('Structure Groups'!$C$12:$C$14,MATCH('Load Criteria'!$B$5,'Structure Groups'!$B$12:$B$14,0),1)&amp;"'","'All'")</f>
        <v>'GL Max 800m'</v>
      </c>
      <c r="AW459" s="552" t="s">
        <v>562</v>
      </c>
      <c r="AX459" s="552"/>
      <c r="AY459" s="552" t="str">
        <f t="shared" si="766"/>
        <v>No</v>
      </c>
      <c r="AZ459" s="554" t="str">
        <f t="shared" si="767"/>
        <v/>
      </c>
      <c r="BA459" s="554" t="str">
        <f t="shared" si="768"/>
        <v/>
      </c>
      <c r="BB459" s="552" t="str">
        <f t="shared" ref="BB459:BB469" si="780">IF(AZ459="","",4)</f>
        <v/>
      </c>
      <c r="BC459" s="554" t="str">
        <f t="shared" si="769"/>
        <v/>
      </c>
      <c r="BD459" s="554" t="str">
        <f t="shared" si="770"/>
        <v/>
      </c>
      <c r="BE459" s="552" t="str">
        <f t="shared" ref="BE459:BE469" si="781">IF(BC459="","",4)</f>
        <v/>
      </c>
      <c r="BF459" s="554" t="str">
        <f t="shared" si="771"/>
        <v/>
      </c>
      <c r="BG459" s="554" t="str">
        <f t="shared" si="772"/>
        <v/>
      </c>
      <c r="BH459" s="552" t="str">
        <f t="shared" ref="BH459:BH469" si="782">IF(BF459="","",4)</f>
        <v/>
      </c>
      <c r="BI459" s="554" t="str">
        <f t="shared" si="773"/>
        <v/>
      </c>
      <c r="BJ459" s="554" t="str">
        <f t="shared" si="774"/>
        <v/>
      </c>
      <c r="BK459" s="552" t="str">
        <f t="shared" ref="BK459:BK469" si="783">IF(BI459="","",4)</f>
        <v/>
      </c>
      <c r="BL459" s="554" t="str">
        <f t="shared" si="775"/>
        <v/>
      </c>
      <c r="BM459" s="554" t="str">
        <f t="shared" si="776"/>
        <v/>
      </c>
      <c r="BN459" s="552" t="str">
        <f t="shared" ref="BN459:BN469" si="784">IF(BL459="","",4)</f>
        <v/>
      </c>
      <c r="BO459" s="554" t="str">
        <f t="shared" si="777"/>
        <v/>
      </c>
      <c r="BP459" s="554" t="str">
        <f t="shared" si="778"/>
        <v/>
      </c>
      <c r="BQ459" s="552" t="str">
        <f t="shared" ref="BQ459:BQ469" si="785">IF(BO459="","",4)</f>
        <v/>
      </c>
      <c r="BR459" s="554"/>
      <c r="BS459" s="554"/>
      <c r="BT459" s="554"/>
      <c r="BU459" s="554"/>
      <c r="BV459" s="554"/>
      <c r="BW459" s="554"/>
      <c r="BX459" s="554"/>
      <c r="BY459" s="554"/>
      <c r="BZ459" s="554"/>
      <c r="CA459" s="554"/>
      <c r="CB459" s="554"/>
      <c r="CC459" s="554"/>
      <c r="CD459" s="554"/>
      <c r="CE459" s="554"/>
      <c r="CF459" s="554"/>
      <c r="CG459" s="554"/>
      <c r="CH459" s="554"/>
      <c r="CI459" s="554"/>
      <c r="CJ459" s="554"/>
      <c r="CK459" s="554"/>
      <c r="CL459" s="554"/>
      <c r="CM459" s="554"/>
      <c r="CN459" s="554"/>
      <c r="CO459" s="554"/>
      <c r="CP459" s="554"/>
      <c r="CQ459" s="554"/>
      <c r="CR459" s="554"/>
      <c r="CS459" s="554"/>
      <c r="CT459" s="554"/>
      <c r="CU459" s="554"/>
      <c r="CV459" s="554"/>
      <c r="CW459" s="554"/>
      <c r="CX459" s="554"/>
      <c r="CY459" s="554"/>
      <c r="CZ459" s="554"/>
      <c r="DA459" s="554"/>
      <c r="DB459" s="554"/>
      <c r="DC459" s="554"/>
      <c r="DD459" s="554"/>
      <c r="DE459" s="534"/>
      <c r="DF459" s="534"/>
      <c r="DG459" s="534"/>
    </row>
    <row r="460" spans="1:111" ht="15" x14ac:dyDescent="0.25">
      <c r="A460" s="549">
        <f>IFERROR(IF(INDEX('Weather Cases'!$E$10:$E$94,MATCH('Load Criteria'!X460,'Weather Cases'!$H$10:$H$94,0),1)=1,1,"-"),"-")</f>
        <v>1</v>
      </c>
      <c r="B460" s="555" t="s">
        <v>558</v>
      </c>
      <c r="C460" s="556" t="str">
        <f>IF('Weather Cases'!$E$40=0,"","DC/SC")</f>
        <v>DC/SC</v>
      </c>
      <c r="D460" s="556" t="s">
        <v>591</v>
      </c>
      <c r="E460" s="556" t="s">
        <v>22</v>
      </c>
      <c r="F460" s="556" t="s">
        <v>22</v>
      </c>
      <c r="G460" s="556" t="str">
        <f>IFERROR(IF(MID('Load Criteria'!X460,FIND("_",'Load Criteria'!X460,1)+1,1)=LEFT(Control!$D$23,1),"YES","-"),"-")</f>
        <v>-</v>
      </c>
      <c r="H460" s="549" t="str">
        <f>IF(INDEX('Weather Cases'!$G$10:$G$94,MATCH('Load Criteria'!X460,'Weather Cases'!$H$10:$H$94,0),1)="H","YES","")</f>
        <v>YES</v>
      </c>
      <c r="I460" s="557" t="s">
        <v>416</v>
      </c>
      <c r="J460" s="508" t="s">
        <v>300</v>
      </c>
      <c r="K460" s="508"/>
      <c r="L460" s="508"/>
      <c r="M460" s="508"/>
      <c r="N460" s="508"/>
      <c r="O460" s="508"/>
      <c r="P460" s="395"/>
      <c r="Q460" s="395"/>
      <c r="R460" s="395"/>
      <c r="S460" s="395"/>
      <c r="T460" s="395"/>
      <c r="U460" s="255" t="s">
        <v>568</v>
      </c>
      <c r="V460" s="551"/>
      <c r="W460" s="542" t="str">
        <f t="shared" si="765"/>
        <v>RCS_8+ NA+</v>
      </c>
      <c r="X460" s="552" t="str">
        <f>I460&amp;TEXT(J460,"0")&amp;"_"&amp;LEFT(Control!$D$22,LEN(Control!$D$22)-2)</f>
        <v>RCS_8</v>
      </c>
      <c r="Y460" s="552" t="s">
        <v>433</v>
      </c>
      <c r="Z460" s="552" t="str">
        <f>U460</f>
        <v>NA+</v>
      </c>
      <c r="AA460" s="552"/>
      <c r="AB460" s="552">
        <v>1</v>
      </c>
      <c r="AC460" s="552">
        <v>1</v>
      </c>
      <c r="AD460" s="552">
        <v>1</v>
      </c>
      <c r="AE460" s="552">
        <v>1</v>
      </c>
      <c r="AF460" s="552">
        <v>1</v>
      </c>
      <c r="AG460" s="542" t="s">
        <v>561</v>
      </c>
      <c r="AH460" s="552">
        <v>0</v>
      </c>
      <c r="AI460" s="552">
        <v>0</v>
      </c>
      <c r="AJ460" s="552">
        <v>1</v>
      </c>
      <c r="AK460" s="552">
        <v>1</v>
      </c>
      <c r="AL460" s="552">
        <v>1</v>
      </c>
      <c r="AM460" s="552">
        <v>0</v>
      </c>
      <c r="AN460" s="552">
        <v>0</v>
      </c>
      <c r="AO460" s="552">
        <v>1</v>
      </c>
      <c r="AP460" s="552">
        <v>1</v>
      </c>
      <c r="AQ460" s="552">
        <v>1</v>
      </c>
      <c r="AR460" s="552">
        <v>1</v>
      </c>
      <c r="AS460" s="552">
        <v>1</v>
      </c>
      <c r="AT460" s="552">
        <v>1</v>
      </c>
      <c r="AU460" s="552">
        <v>1</v>
      </c>
      <c r="AV460" s="553" t="str">
        <f>IF(H460="YES","'"&amp;INDEX('Structure Groups'!$C$12:$C$14,MATCH('Load Criteria'!$B$5,'Structure Groups'!$B$12:$B$14,0),1)&amp;"'","'All'")</f>
        <v>'GL Max 800m'</v>
      </c>
      <c r="AW460" s="552" t="s">
        <v>562</v>
      </c>
      <c r="AX460" s="552"/>
      <c r="AY460" s="552" t="str">
        <f t="shared" si="766"/>
        <v>No</v>
      </c>
      <c r="AZ460" s="554" t="str">
        <f t="shared" si="767"/>
        <v/>
      </c>
      <c r="BA460" s="554" t="str">
        <f t="shared" si="768"/>
        <v/>
      </c>
      <c r="BB460" s="552" t="str">
        <f>IF(AZ460="","",4)</f>
        <v/>
      </c>
      <c r="BC460" s="554" t="str">
        <f t="shared" si="769"/>
        <v/>
      </c>
      <c r="BD460" s="554" t="str">
        <f t="shared" si="770"/>
        <v/>
      </c>
      <c r="BE460" s="552" t="str">
        <f>IF(BC460="","",4)</f>
        <v/>
      </c>
      <c r="BF460" s="554" t="str">
        <f t="shared" si="771"/>
        <v/>
      </c>
      <c r="BG460" s="554" t="str">
        <f t="shared" si="772"/>
        <v/>
      </c>
      <c r="BH460" s="552" t="str">
        <f>IF(BF460="","",4)</f>
        <v/>
      </c>
      <c r="BI460" s="554" t="str">
        <f t="shared" si="773"/>
        <v/>
      </c>
      <c r="BJ460" s="554" t="str">
        <f t="shared" si="774"/>
        <v/>
      </c>
      <c r="BK460" s="552" t="str">
        <f>IF(BI460="","",4)</f>
        <v/>
      </c>
      <c r="BL460" s="554" t="str">
        <f t="shared" si="775"/>
        <v/>
      </c>
      <c r="BM460" s="554" t="str">
        <f t="shared" si="776"/>
        <v/>
      </c>
      <c r="BN460" s="552" t="str">
        <f>IF(BL460="","",4)</f>
        <v/>
      </c>
      <c r="BO460" s="554" t="str">
        <f t="shared" si="777"/>
        <v/>
      </c>
      <c r="BP460" s="554" t="str">
        <f t="shared" si="778"/>
        <v/>
      </c>
      <c r="BQ460" s="552" t="str">
        <f>IF(BO460="","",4)</f>
        <v/>
      </c>
      <c r="BR460" s="554"/>
      <c r="BS460" s="554"/>
      <c r="BT460" s="554"/>
      <c r="BU460" s="554"/>
      <c r="BV460" s="554"/>
      <c r="BW460" s="554"/>
      <c r="BX460" s="554"/>
      <c r="BY460" s="554"/>
      <c r="BZ460" s="554"/>
      <c r="CA460" s="554"/>
      <c r="CB460" s="554"/>
      <c r="CC460" s="554"/>
      <c r="CD460" s="554"/>
      <c r="CE460" s="554"/>
      <c r="CF460" s="554"/>
      <c r="CG460" s="554"/>
      <c r="CH460" s="554"/>
      <c r="CI460" s="554"/>
      <c r="CJ460" s="554"/>
      <c r="CK460" s="554"/>
      <c r="CL460" s="554"/>
      <c r="CM460" s="554"/>
      <c r="CN460" s="554"/>
      <c r="CO460" s="554"/>
      <c r="CP460" s="554"/>
      <c r="CQ460" s="554"/>
      <c r="CR460" s="554"/>
      <c r="CS460" s="554"/>
      <c r="CT460" s="554"/>
      <c r="CU460" s="554"/>
      <c r="CV460" s="554"/>
      <c r="CW460" s="554"/>
      <c r="CX460" s="554"/>
      <c r="CY460" s="554"/>
      <c r="CZ460" s="554"/>
      <c r="DA460" s="554"/>
      <c r="DB460" s="554"/>
      <c r="DC460" s="554"/>
      <c r="DD460" s="554"/>
      <c r="DE460" s="534"/>
      <c r="DF460" s="534"/>
      <c r="DG460" s="534"/>
    </row>
    <row r="461" spans="1:111" ht="15" x14ac:dyDescent="0.25">
      <c r="A461" s="549">
        <f>IFERROR(IF(INDEX('Weather Cases'!$E$10:$E$94,MATCH('Load Criteria'!X461,'Weather Cases'!$H$10:$H$94,0),1)=1,1,"-"),"-")</f>
        <v>1</v>
      </c>
      <c r="B461" s="555" t="s">
        <v>558</v>
      </c>
      <c r="C461" s="556" t="str">
        <f>IF('Weather Cases'!$E$40=0,"","DC/SC")</f>
        <v>DC/SC</v>
      </c>
      <c r="D461" s="556" t="s">
        <v>591</v>
      </c>
      <c r="E461" s="556" t="s">
        <v>22</v>
      </c>
      <c r="F461" s="556" t="s">
        <v>22</v>
      </c>
      <c r="G461" s="556" t="str">
        <f>IFERROR(IF(MID('Load Criteria'!X461,FIND("_",'Load Criteria'!X461,1)+1,1)=LEFT(Control!$D$23,1),"YES","-"),"-")</f>
        <v>-</v>
      </c>
      <c r="H461" s="549" t="str">
        <f>IF(INDEX('Weather Cases'!$G$10:$G$94,MATCH('Load Criteria'!X461,'Weather Cases'!$H$10:$H$94,0),1)="H","YES","")</f>
        <v>YES</v>
      </c>
      <c r="I461" s="557" t="s">
        <v>416</v>
      </c>
      <c r="J461" s="508" t="s">
        <v>300</v>
      </c>
      <c r="K461" s="508"/>
      <c r="L461" s="508"/>
      <c r="M461" s="508"/>
      <c r="N461" s="508"/>
      <c r="O461" s="508"/>
      <c r="P461" s="395"/>
      <c r="Q461" s="395"/>
      <c r="R461" s="395"/>
      <c r="S461" s="395"/>
      <c r="T461" s="395"/>
      <c r="U461" s="255" t="s">
        <v>574</v>
      </c>
      <c r="V461" s="551"/>
      <c r="W461" s="542" t="str">
        <f t="shared" si="765"/>
        <v>RCS_8+ NA-</v>
      </c>
      <c r="X461" s="552" t="str">
        <f>I461&amp;TEXT(J461,"0")&amp;"_"&amp;LEFT(Control!$D$22,LEN(Control!$D$22)-2)</f>
        <v>RCS_8</v>
      </c>
      <c r="Y461" s="552" t="s">
        <v>433</v>
      </c>
      <c r="Z461" s="552" t="str">
        <f>U461</f>
        <v>NA-</v>
      </c>
      <c r="AA461" s="552"/>
      <c r="AB461" s="552">
        <v>1</v>
      </c>
      <c r="AC461" s="552">
        <v>1</v>
      </c>
      <c r="AD461" s="552">
        <v>1</v>
      </c>
      <c r="AE461" s="552">
        <v>1</v>
      </c>
      <c r="AF461" s="552">
        <v>1</v>
      </c>
      <c r="AG461" s="542" t="s">
        <v>561</v>
      </c>
      <c r="AH461" s="552">
        <v>0</v>
      </c>
      <c r="AI461" s="552">
        <v>0</v>
      </c>
      <c r="AJ461" s="552">
        <v>1</v>
      </c>
      <c r="AK461" s="552">
        <v>1</v>
      </c>
      <c r="AL461" s="552">
        <v>1</v>
      </c>
      <c r="AM461" s="552">
        <v>0</v>
      </c>
      <c r="AN461" s="552">
        <v>0</v>
      </c>
      <c r="AO461" s="552">
        <v>1</v>
      </c>
      <c r="AP461" s="552">
        <v>1</v>
      </c>
      <c r="AQ461" s="552">
        <v>1</v>
      </c>
      <c r="AR461" s="552">
        <v>1</v>
      </c>
      <c r="AS461" s="552">
        <v>1</v>
      </c>
      <c r="AT461" s="552">
        <v>1</v>
      </c>
      <c r="AU461" s="552">
        <v>1</v>
      </c>
      <c r="AV461" s="553" t="str">
        <f>IF(H461="YES","'"&amp;INDEX('Structure Groups'!$C$12:$C$14,MATCH('Load Criteria'!$B$5,'Structure Groups'!$B$12:$B$14,0),1)&amp;"'","'All'")</f>
        <v>'GL Max 800m'</v>
      </c>
      <c r="AW461" s="552" t="s">
        <v>562</v>
      </c>
      <c r="AX461" s="552"/>
      <c r="AY461" s="552" t="str">
        <f t="shared" si="766"/>
        <v>No</v>
      </c>
      <c r="AZ461" s="554" t="str">
        <f t="shared" si="767"/>
        <v/>
      </c>
      <c r="BA461" s="554" t="str">
        <f t="shared" si="768"/>
        <v/>
      </c>
      <c r="BB461" s="552" t="str">
        <f>IF(AZ461="","",4)</f>
        <v/>
      </c>
      <c r="BC461" s="554" t="str">
        <f t="shared" si="769"/>
        <v/>
      </c>
      <c r="BD461" s="554" t="str">
        <f t="shared" si="770"/>
        <v/>
      </c>
      <c r="BE461" s="552" t="str">
        <f>IF(BC461="","",4)</f>
        <v/>
      </c>
      <c r="BF461" s="554" t="str">
        <f t="shared" si="771"/>
        <v/>
      </c>
      <c r="BG461" s="554" t="str">
        <f t="shared" si="772"/>
        <v/>
      </c>
      <c r="BH461" s="552" t="str">
        <f>IF(BF461="","",4)</f>
        <v/>
      </c>
      <c r="BI461" s="554" t="str">
        <f t="shared" si="773"/>
        <v/>
      </c>
      <c r="BJ461" s="554" t="str">
        <f t="shared" si="774"/>
        <v/>
      </c>
      <c r="BK461" s="552" t="str">
        <f>IF(BI461="","",4)</f>
        <v/>
      </c>
      <c r="BL461" s="554" t="str">
        <f t="shared" si="775"/>
        <v/>
      </c>
      <c r="BM461" s="554" t="str">
        <f t="shared" si="776"/>
        <v/>
      </c>
      <c r="BN461" s="552" t="str">
        <f>IF(BL461="","",4)</f>
        <v/>
      </c>
      <c r="BO461" s="554" t="str">
        <f t="shared" si="777"/>
        <v/>
      </c>
      <c r="BP461" s="554" t="str">
        <f t="shared" si="778"/>
        <v/>
      </c>
      <c r="BQ461" s="552" t="str">
        <f>IF(BO461="","",4)</f>
        <v/>
      </c>
      <c r="BR461" s="554"/>
      <c r="BS461" s="554"/>
      <c r="BT461" s="554"/>
      <c r="BU461" s="554"/>
      <c r="BV461" s="554"/>
      <c r="BW461" s="554"/>
      <c r="BX461" s="554"/>
      <c r="BY461" s="554"/>
      <c r="BZ461" s="554"/>
      <c r="CA461" s="554"/>
      <c r="CB461" s="554"/>
      <c r="CC461" s="554"/>
      <c r="CD461" s="554"/>
      <c r="CE461" s="554"/>
      <c r="CF461" s="554"/>
      <c r="CG461" s="554"/>
      <c r="CH461" s="554"/>
      <c r="CI461" s="554"/>
      <c r="CJ461" s="554"/>
      <c r="CK461" s="554"/>
      <c r="CL461" s="554"/>
      <c r="CM461" s="554"/>
      <c r="CN461" s="554"/>
      <c r="CO461" s="554"/>
      <c r="CP461" s="554"/>
      <c r="CQ461" s="554"/>
      <c r="CR461" s="554"/>
      <c r="CS461" s="554"/>
      <c r="CT461" s="554"/>
      <c r="CU461" s="554"/>
      <c r="CV461" s="554"/>
      <c r="CW461" s="554"/>
      <c r="CX461" s="554"/>
      <c r="CY461" s="554"/>
      <c r="CZ461" s="554"/>
      <c r="DA461" s="554"/>
      <c r="DB461" s="554"/>
      <c r="DC461" s="554"/>
      <c r="DD461" s="554"/>
      <c r="DE461" s="534"/>
      <c r="DF461" s="534"/>
      <c r="DG461" s="534"/>
    </row>
    <row r="462" spans="1:111" ht="15" x14ac:dyDescent="0.25">
      <c r="A462" s="549">
        <f>IFERROR(IF(INDEX('Weather Cases'!$E$10:$E$94,MATCH('Load Criteria'!X462,'Weather Cases'!$H$10:$H$94,0),1)=1,1,"-"),"-")</f>
        <v>1</v>
      </c>
      <c r="B462" s="555" t="s">
        <v>558</v>
      </c>
      <c r="C462" s="556" t="str">
        <f>IF('Weather Cases'!$E$40=0,"","DC/SC")</f>
        <v>DC/SC</v>
      </c>
      <c r="D462" s="556" t="s">
        <v>591</v>
      </c>
      <c r="E462" s="556" t="s">
        <v>22</v>
      </c>
      <c r="F462" s="556" t="s">
        <v>22</v>
      </c>
      <c r="G462" s="556" t="str">
        <f>IFERROR(IF(MID('Load Criteria'!X462,FIND("_",'Load Criteria'!X462,1)+1,1)=LEFT(Control!$D$23,1),"YES","-"),"-")</f>
        <v>-</v>
      </c>
      <c r="H462" s="549" t="str">
        <f>IF(INDEX('Weather Cases'!$G$10:$G$94,MATCH('Load Criteria'!X462,'Weather Cases'!$H$10:$H$94,0),1)="H","YES","")</f>
        <v>YES</v>
      </c>
      <c r="I462" s="557" t="s">
        <v>418</v>
      </c>
      <c r="J462" s="508" t="s">
        <v>300</v>
      </c>
      <c r="K462" s="508"/>
      <c r="L462" s="508"/>
      <c r="M462" s="508"/>
      <c r="N462" s="508"/>
      <c r="O462" s="508"/>
      <c r="P462" s="395"/>
      <c r="Q462" s="395"/>
      <c r="R462" s="395"/>
      <c r="S462" s="395"/>
      <c r="T462" s="395"/>
      <c r="U462" s="255" t="s">
        <v>568</v>
      </c>
      <c r="V462" s="551"/>
      <c r="W462" s="542" t="str">
        <f t="shared" si="765"/>
        <v>RCI_8+ NA+</v>
      </c>
      <c r="X462" s="552" t="str">
        <f>I462&amp;TEXT(J462,"0")&amp;"_"&amp;LEFT(Control!$D$22,LEN(Control!$D$22)-2)</f>
        <v>RCI_8</v>
      </c>
      <c r="Y462" s="552" t="s">
        <v>433</v>
      </c>
      <c r="Z462" s="552" t="str">
        <f>U462</f>
        <v>NA+</v>
      </c>
      <c r="AA462" s="552"/>
      <c r="AB462" s="552">
        <v>1</v>
      </c>
      <c r="AC462" s="552">
        <v>1</v>
      </c>
      <c r="AD462" s="552">
        <v>1</v>
      </c>
      <c r="AE462" s="552">
        <v>1</v>
      </c>
      <c r="AF462" s="552">
        <v>1</v>
      </c>
      <c r="AG462" s="542" t="s">
        <v>561</v>
      </c>
      <c r="AH462" s="552">
        <v>0</v>
      </c>
      <c r="AI462" s="552">
        <v>0</v>
      </c>
      <c r="AJ462" s="552">
        <v>1</v>
      </c>
      <c r="AK462" s="552">
        <v>1</v>
      </c>
      <c r="AL462" s="552">
        <v>1</v>
      </c>
      <c r="AM462" s="552">
        <v>0</v>
      </c>
      <c r="AN462" s="552">
        <v>0</v>
      </c>
      <c r="AO462" s="552">
        <v>1</v>
      </c>
      <c r="AP462" s="552">
        <v>1</v>
      </c>
      <c r="AQ462" s="552">
        <v>1</v>
      </c>
      <c r="AR462" s="552">
        <v>1</v>
      </c>
      <c r="AS462" s="552">
        <v>1</v>
      </c>
      <c r="AT462" s="552">
        <v>1</v>
      </c>
      <c r="AU462" s="552">
        <v>1</v>
      </c>
      <c r="AV462" s="553" t="str">
        <f>IF(H462="YES","'"&amp;INDEX('Structure Groups'!$C$12:$C$14,MATCH('Load Criteria'!$B$5,'Structure Groups'!$B$12:$B$14,0),1)&amp;"'","'All'")</f>
        <v>'GL Max 800m'</v>
      </c>
      <c r="AW462" s="552" t="s">
        <v>562</v>
      </c>
      <c r="AX462" s="552"/>
      <c r="AY462" s="552" t="str">
        <f t="shared" si="766"/>
        <v>No</v>
      </c>
      <c r="AZ462" s="554" t="str">
        <f t="shared" si="767"/>
        <v/>
      </c>
      <c r="BA462" s="554" t="str">
        <f t="shared" si="768"/>
        <v/>
      </c>
      <c r="BB462" s="552" t="str">
        <f>IF(AZ462="","",4)</f>
        <v/>
      </c>
      <c r="BC462" s="554" t="str">
        <f t="shared" si="769"/>
        <v/>
      </c>
      <c r="BD462" s="554" t="str">
        <f t="shared" si="770"/>
        <v/>
      </c>
      <c r="BE462" s="552" t="str">
        <f>IF(BC462="","",4)</f>
        <v/>
      </c>
      <c r="BF462" s="554" t="str">
        <f t="shared" si="771"/>
        <v/>
      </c>
      <c r="BG462" s="554" t="str">
        <f t="shared" si="772"/>
        <v/>
      </c>
      <c r="BH462" s="552" t="str">
        <f>IF(BF462="","",4)</f>
        <v/>
      </c>
      <c r="BI462" s="554" t="str">
        <f t="shared" si="773"/>
        <v/>
      </c>
      <c r="BJ462" s="554" t="str">
        <f t="shared" si="774"/>
        <v/>
      </c>
      <c r="BK462" s="552" t="str">
        <f>IF(BI462="","",4)</f>
        <v/>
      </c>
      <c r="BL462" s="554" t="str">
        <f t="shared" si="775"/>
        <v/>
      </c>
      <c r="BM462" s="554" t="str">
        <f t="shared" si="776"/>
        <v/>
      </c>
      <c r="BN462" s="552" t="str">
        <f>IF(BL462="","",4)</f>
        <v/>
      </c>
      <c r="BO462" s="554" t="str">
        <f t="shared" si="777"/>
        <v/>
      </c>
      <c r="BP462" s="554" t="str">
        <f t="shared" si="778"/>
        <v/>
      </c>
      <c r="BQ462" s="552" t="str">
        <f>IF(BO462="","",4)</f>
        <v/>
      </c>
      <c r="BR462" s="554"/>
      <c r="BS462" s="554"/>
      <c r="BT462" s="554"/>
      <c r="BU462" s="554"/>
      <c r="BV462" s="554"/>
      <c r="BW462" s="554"/>
      <c r="BX462" s="554"/>
      <c r="BY462" s="554"/>
      <c r="BZ462" s="554"/>
      <c r="CA462" s="554"/>
      <c r="CB462" s="554"/>
      <c r="CC462" s="554"/>
      <c r="CD462" s="554"/>
      <c r="CE462" s="554"/>
      <c r="CF462" s="554"/>
      <c r="CG462" s="554"/>
      <c r="CH462" s="554"/>
      <c r="CI462" s="554"/>
      <c r="CJ462" s="554"/>
      <c r="CK462" s="554"/>
      <c r="CL462" s="554"/>
      <c r="CM462" s="554"/>
      <c r="CN462" s="554"/>
      <c r="CO462" s="554"/>
      <c r="CP462" s="554"/>
      <c r="CQ462" s="554"/>
      <c r="CR462" s="554"/>
      <c r="CS462" s="554"/>
      <c r="CT462" s="554"/>
      <c r="CU462" s="554"/>
      <c r="CV462" s="554"/>
      <c r="CW462" s="554"/>
      <c r="CX462" s="554"/>
      <c r="CY462" s="554"/>
      <c r="CZ462" s="554"/>
      <c r="DA462" s="554"/>
      <c r="DB462" s="554"/>
      <c r="DC462" s="554"/>
      <c r="DD462" s="554"/>
      <c r="DE462" s="534"/>
      <c r="DF462" s="534"/>
      <c r="DG462" s="534"/>
    </row>
    <row r="463" spans="1:111" ht="15" x14ac:dyDescent="0.25">
      <c r="A463" s="549">
        <f>IFERROR(IF(INDEX('Weather Cases'!$E$10:$E$94,MATCH('Load Criteria'!X463,'Weather Cases'!$H$10:$H$94,0),1)=1,1,"-"),"-")</f>
        <v>1</v>
      </c>
      <c r="B463" s="555" t="s">
        <v>558</v>
      </c>
      <c r="C463" s="556" t="str">
        <f>IF('Weather Cases'!$E$40=0,"","DC/SC")</f>
        <v>DC/SC</v>
      </c>
      <c r="D463" s="556" t="s">
        <v>591</v>
      </c>
      <c r="E463" s="556" t="s">
        <v>22</v>
      </c>
      <c r="F463" s="556" t="s">
        <v>22</v>
      </c>
      <c r="G463" s="556" t="str">
        <f>IFERROR(IF(MID('Load Criteria'!X463,FIND("_",'Load Criteria'!X463,1)+1,1)=LEFT(Control!$D$23,1),"YES","-"),"-")</f>
        <v>-</v>
      </c>
      <c r="H463" s="549" t="str">
        <f>IF(INDEX('Weather Cases'!$G$10:$G$94,MATCH('Load Criteria'!X463,'Weather Cases'!$H$10:$H$94,0),1)="H","YES","")</f>
        <v>YES</v>
      </c>
      <c r="I463" s="557" t="s">
        <v>418</v>
      </c>
      <c r="J463" s="508" t="s">
        <v>300</v>
      </c>
      <c r="K463" s="508"/>
      <c r="L463" s="508"/>
      <c r="M463" s="508"/>
      <c r="N463" s="508"/>
      <c r="O463" s="508"/>
      <c r="P463" s="395"/>
      <c r="Q463" s="395"/>
      <c r="R463" s="395"/>
      <c r="S463" s="395"/>
      <c r="T463" s="395"/>
      <c r="U463" s="255" t="s">
        <v>574</v>
      </c>
      <c r="V463" s="551"/>
      <c r="W463" s="542" t="str">
        <f t="shared" si="765"/>
        <v>RCI_8+ NA-</v>
      </c>
      <c r="X463" s="552" t="str">
        <f>I463&amp;TEXT(J463,"0")&amp;"_"&amp;LEFT(Control!$D$22,LEN(Control!$D$22)-2)</f>
        <v>RCI_8</v>
      </c>
      <c r="Y463" s="552" t="s">
        <v>433</v>
      </c>
      <c r="Z463" s="552" t="str">
        <f>U463</f>
        <v>NA-</v>
      </c>
      <c r="AA463" s="552"/>
      <c r="AB463" s="552">
        <v>1</v>
      </c>
      <c r="AC463" s="552">
        <v>1</v>
      </c>
      <c r="AD463" s="552">
        <v>1</v>
      </c>
      <c r="AE463" s="552">
        <v>1</v>
      </c>
      <c r="AF463" s="552">
        <v>1</v>
      </c>
      <c r="AG463" s="542" t="s">
        <v>561</v>
      </c>
      <c r="AH463" s="552">
        <v>0</v>
      </c>
      <c r="AI463" s="552">
        <v>0</v>
      </c>
      <c r="AJ463" s="552">
        <v>1</v>
      </c>
      <c r="AK463" s="552">
        <v>1</v>
      </c>
      <c r="AL463" s="552">
        <v>1</v>
      </c>
      <c r="AM463" s="552">
        <v>0</v>
      </c>
      <c r="AN463" s="552">
        <v>0</v>
      </c>
      <c r="AO463" s="552">
        <v>1</v>
      </c>
      <c r="AP463" s="552">
        <v>1</v>
      </c>
      <c r="AQ463" s="552">
        <v>1</v>
      </c>
      <c r="AR463" s="552">
        <v>1</v>
      </c>
      <c r="AS463" s="552">
        <v>1</v>
      </c>
      <c r="AT463" s="552">
        <v>1</v>
      </c>
      <c r="AU463" s="552">
        <v>1</v>
      </c>
      <c r="AV463" s="553" t="str">
        <f>IF(H463="YES","'"&amp;INDEX('Structure Groups'!$C$12:$C$14,MATCH('Load Criteria'!$B$5,'Structure Groups'!$B$12:$B$14,0),1)&amp;"'","'All'")</f>
        <v>'GL Max 800m'</v>
      </c>
      <c r="AW463" s="552" t="s">
        <v>562</v>
      </c>
      <c r="AX463" s="552"/>
      <c r="AY463" s="552" t="str">
        <f t="shared" si="766"/>
        <v>No</v>
      </c>
      <c r="AZ463" s="554" t="str">
        <f t="shared" si="767"/>
        <v/>
      </c>
      <c r="BA463" s="554" t="str">
        <f t="shared" si="768"/>
        <v/>
      </c>
      <c r="BB463" s="552" t="str">
        <f>IF(AZ463="","",4)</f>
        <v/>
      </c>
      <c r="BC463" s="554" t="str">
        <f t="shared" si="769"/>
        <v/>
      </c>
      <c r="BD463" s="554" t="str">
        <f t="shared" si="770"/>
        <v/>
      </c>
      <c r="BE463" s="552" t="str">
        <f>IF(BC463="","",4)</f>
        <v/>
      </c>
      <c r="BF463" s="554" t="str">
        <f t="shared" si="771"/>
        <v/>
      </c>
      <c r="BG463" s="554" t="str">
        <f t="shared" si="772"/>
        <v/>
      </c>
      <c r="BH463" s="552" t="str">
        <f>IF(BF463="","",4)</f>
        <v/>
      </c>
      <c r="BI463" s="554" t="str">
        <f t="shared" si="773"/>
        <v/>
      </c>
      <c r="BJ463" s="554" t="str">
        <f t="shared" si="774"/>
        <v/>
      </c>
      <c r="BK463" s="552" t="str">
        <f>IF(BI463="","",4)</f>
        <v/>
      </c>
      <c r="BL463" s="554" t="str">
        <f t="shared" si="775"/>
        <v/>
      </c>
      <c r="BM463" s="554" t="str">
        <f t="shared" si="776"/>
        <v/>
      </c>
      <c r="BN463" s="552" t="str">
        <f>IF(BL463="","",4)</f>
        <v/>
      </c>
      <c r="BO463" s="554" t="str">
        <f t="shared" si="777"/>
        <v/>
      </c>
      <c r="BP463" s="554" t="str">
        <f t="shared" si="778"/>
        <v/>
      </c>
      <c r="BQ463" s="552" t="str">
        <f>IF(BO463="","",4)</f>
        <v/>
      </c>
      <c r="BR463" s="554"/>
      <c r="BS463" s="554"/>
      <c r="BT463" s="554"/>
      <c r="BU463" s="554"/>
      <c r="BV463" s="554"/>
      <c r="BW463" s="554"/>
      <c r="BX463" s="554"/>
      <c r="BY463" s="554"/>
      <c r="BZ463" s="554"/>
      <c r="CA463" s="554"/>
      <c r="CB463" s="554"/>
      <c r="CC463" s="554"/>
      <c r="CD463" s="554"/>
      <c r="CE463" s="554"/>
      <c r="CF463" s="554"/>
      <c r="CG463" s="554"/>
      <c r="CH463" s="554"/>
      <c r="CI463" s="554"/>
      <c r="CJ463" s="554"/>
      <c r="CK463" s="554"/>
      <c r="CL463" s="554"/>
      <c r="CM463" s="554"/>
      <c r="CN463" s="554"/>
      <c r="CO463" s="554"/>
      <c r="CP463" s="554"/>
      <c r="CQ463" s="554"/>
      <c r="CR463" s="554"/>
      <c r="CS463" s="554"/>
      <c r="CT463" s="554"/>
      <c r="CU463" s="554"/>
      <c r="CV463" s="554"/>
      <c r="CW463" s="554"/>
      <c r="CX463" s="554"/>
      <c r="CY463" s="554"/>
      <c r="CZ463" s="554"/>
      <c r="DA463" s="554"/>
      <c r="DB463" s="554"/>
      <c r="DC463" s="554"/>
      <c r="DD463" s="554"/>
      <c r="DE463" s="534"/>
      <c r="DF463" s="534"/>
      <c r="DG463" s="534"/>
    </row>
    <row r="464" spans="1:111" ht="15" x14ac:dyDescent="0.25">
      <c r="A464" s="549">
        <f>IFERROR(IF(INDEX('Weather Cases'!$E$10:$E$94,MATCH('Load Criteria'!X464,'Weather Cases'!$H$10:$H$94,0),1)=1,1,"-"),"-")</f>
        <v>1</v>
      </c>
      <c r="B464" s="555" t="s">
        <v>558</v>
      </c>
      <c r="C464" s="556" t="str">
        <f>IF('Weather Cases'!$E$40=0,"","DC/SC")</f>
        <v>DC/SC</v>
      </c>
      <c r="D464" s="556" t="s">
        <v>591</v>
      </c>
      <c r="E464" s="556" t="s">
        <v>22</v>
      </c>
      <c r="F464" s="556" t="s">
        <v>22</v>
      </c>
      <c r="G464" s="556" t="str">
        <f>IFERROR(IF(MID('Load Criteria'!X464,FIND("_",'Load Criteria'!X464,1)+1,1)=LEFT(Control!$D$23,1),"YES","-"),"-")</f>
        <v>YES</v>
      </c>
      <c r="H464" s="549" t="str">
        <f>IF(INDEX('Weather Cases'!$G$10:$G$94,MATCH('Load Criteria'!X464,'Weather Cases'!$H$10:$H$94,0),1)="H","YES","")</f>
        <v>YES</v>
      </c>
      <c r="I464" s="557" t="s">
        <v>410</v>
      </c>
      <c r="J464" s="508" t="s">
        <v>300</v>
      </c>
      <c r="K464" s="508"/>
      <c r="L464" s="508"/>
      <c r="M464" s="508"/>
      <c r="N464" s="508"/>
      <c r="O464" s="508"/>
      <c r="P464" s="395"/>
      <c r="Q464" s="395"/>
      <c r="R464" s="395"/>
      <c r="S464" s="395"/>
      <c r="T464" s="395"/>
      <c r="U464" s="255" t="s">
        <v>568</v>
      </c>
      <c r="V464" s="551"/>
      <c r="W464" s="542" t="str">
        <f t="shared" si="765"/>
        <v>CA6_A8+ NA+</v>
      </c>
      <c r="X464" s="552" t="str">
        <f>I464&amp;TEXT(J464,"0")&amp;"_"&amp;LEFT(Control!$D$23,1)&amp;LEFT(Control!$D$22,LEN(Control!$D$22)-2)</f>
        <v>CA6_A8</v>
      </c>
      <c r="Y464" s="552" t="s">
        <v>433</v>
      </c>
      <c r="Z464" s="552" t="str">
        <f t="shared" si="779"/>
        <v>NA+</v>
      </c>
      <c r="AA464" s="552"/>
      <c r="AB464" s="552">
        <v>1</v>
      </c>
      <c r="AC464" s="552">
        <v>1</v>
      </c>
      <c r="AD464" s="552">
        <v>1</v>
      </c>
      <c r="AE464" s="552">
        <v>1</v>
      </c>
      <c r="AF464" s="552">
        <v>1</v>
      </c>
      <c r="AG464" s="542" t="s">
        <v>561</v>
      </c>
      <c r="AH464" s="552">
        <v>0</v>
      </c>
      <c r="AI464" s="552">
        <v>0</v>
      </c>
      <c r="AJ464" s="552">
        <v>1</v>
      </c>
      <c r="AK464" s="552">
        <v>1</v>
      </c>
      <c r="AL464" s="552">
        <v>1</v>
      </c>
      <c r="AM464" s="552">
        <v>0</v>
      </c>
      <c r="AN464" s="552">
        <v>0</v>
      </c>
      <c r="AO464" s="552">
        <v>1</v>
      </c>
      <c r="AP464" s="552">
        <v>1</v>
      </c>
      <c r="AQ464" s="552">
        <v>1</v>
      </c>
      <c r="AR464" s="552">
        <v>1</v>
      </c>
      <c r="AS464" s="552">
        <v>1</v>
      </c>
      <c r="AT464" s="552">
        <v>1</v>
      </c>
      <c r="AU464" s="552">
        <v>1</v>
      </c>
      <c r="AV464" s="553" t="str">
        <f>IF(H464="YES","'"&amp;INDEX('Structure Groups'!$C$12:$C$14,MATCH('Load Criteria'!$B$5,'Structure Groups'!$B$12:$B$14,0),1)&amp;"'","'All'")</f>
        <v>'GL Max 800m'</v>
      </c>
      <c r="AW464" s="552" t="s">
        <v>562</v>
      </c>
      <c r="AX464" s="552"/>
      <c r="AY464" s="552" t="str">
        <f t="shared" si="766"/>
        <v>No</v>
      </c>
      <c r="AZ464" s="554" t="str">
        <f t="shared" si="767"/>
        <v/>
      </c>
      <c r="BA464" s="554" t="str">
        <f t="shared" si="768"/>
        <v/>
      </c>
      <c r="BB464" s="552" t="str">
        <f t="shared" si="780"/>
        <v/>
      </c>
      <c r="BC464" s="554" t="str">
        <f t="shared" si="769"/>
        <v/>
      </c>
      <c r="BD464" s="554" t="str">
        <f t="shared" si="770"/>
        <v/>
      </c>
      <c r="BE464" s="552" t="str">
        <f t="shared" si="781"/>
        <v/>
      </c>
      <c r="BF464" s="554" t="str">
        <f t="shared" si="771"/>
        <v/>
      </c>
      <c r="BG464" s="554" t="str">
        <f t="shared" si="772"/>
        <v/>
      </c>
      <c r="BH464" s="552" t="str">
        <f t="shared" si="782"/>
        <v/>
      </c>
      <c r="BI464" s="554" t="str">
        <f t="shared" si="773"/>
        <v/>
      </c>
      <c r="BJ464" s="554" t="str">
        <f t="shared" si="774"/>
        <v/>
      </c>
      <c r="BK464" s="552" t="str">
        <f t="shared" si="783"/>
        <v/>
      </c>
      <c r="BL464" s="554" t="str">
        <f t="shared" si="775"/>
        <v/>
      </c>
      <c r="BM464" s="554" t="str">
        <f t="shared" si="776"/>
        <v/>
      </c>
      <c r="BN464" s="552" t="str">
        <f t="shared" si="784"/>
        <v/>
      </c>
      <c r="BO464" s="554" t="str">
        <f t="shared" si="777"/>
        <v/>
      </c>
      <c r="BP464" s="554" t="str">
        <f t="shared" si="778"/>
        <v/>
      </c>
      <c r="BQ464" s="552" t="str">
        <f t="shared" si="785"/>
        <v/>
      </c>
      <c r="BR464" s="554"/>
      <c r="BS464" s="554"/>
      <c r="BT464" s="554"/>
      <c r="BU464" s="554"/>
      <c r="BV464" s="554"/>
      <c r="BW464" s="554"/>
      <c r="BX464" s="554"/>
      <c r="BY464" s="554"/>
      <c r="BZ464" s="554"/>
      <c r="CA464" s="554"/>
      <c r="CB464" s="554"/>
      <c r="CC464" s="554"/>
      <c r="CD464" s="554"/>
      <c r="CE464" s="554"/>
      <c r="CF464" s="554"/>
      <c r="CG464" s="554"/>
      <c r="CH464" s="554"/>
      <c r="CI464" s="554"/>
      <c r="CJ464" s="554"/>
      <c r="CK464" s="554"/>
      <c r="CL464" s="554"/>
      <c r="CM464" s="554"/>
      <c r="CN464" s="554"/>
      <c r="CO464" s="554"/>
      <c r="CP464" s="554"/>
      <c r="CQ464" s="554"/>
      <c r="CR464" s="554"/>
      <c r="CS464" s="554"/>
      <c r="CT464" s="554"/>
      <c r="CU464" s="554"/>
      <c r="CV464" s="554"/>
      <c r="CW464" s="554"/>
      <c r="CX464" s="554"/>
      <c r="CY464" s="554"/>
      <c r="CZ464" s="554"/>
      <c r="DA464" s="554"/>
      <c r="DB464" s="554"/>
      <c r="DC464" s="554"/>
      <c r="DD464" s="554"/>
      <c r="DE464" s="534"/>
      <c r="DF464" s="534"/>
      <c r="DG464" s="534"/>
    </row>
    <row r="465" spans="1:111" ht="15" x14ac:dyDescent="0.25">
      <c r="A465" s="549">
        <f>IFERROR(IF(INDEX('Weather Cases'!$E$10:$E$94,MATCH('Load Criteria'!X465,'Weather Cases'!$H$10:$H$94,0),1)=1,1,"-"),"-")</f>
        <v>1</v>
      </c>
      <c r="B465" s="555" t="s">
        <v>558</v>
      </c>
      <c r="C465" s="556" t="str">
        <f>IF('Weather Cases'!$E$40=0,"","DC/SC")</f>
        <v>DC/SC</v>
      </c>
      <c r="D465" s="556" t="s">
        <v>591</v>
      </c>
      <c r="E465" s="556" t="s">
        <v>22</v>
      </c>
      <c r="F465" s="556" t="s">
        <v>22</v>
      </c>
      <c r="G465" s="556" t="str">
        <f>IFERROR(IF(MID('Load Criteria'!X465,FIND("_",'Load Criteria'!X465,1)+1,1)=LEFT(Control!$D$23,1),"YES","-"),"-")</f>
        <v>YES</v>
      </c>
      <c r="H465" s="549" t="str">
        <f>IF(INDEX('Weather Cases'!$G$10:$G$94,MATCH('Load Criteria'!X465,'Weather Cases'!$H$10:$H$94,0),1)="H","YES","")</f>
        <v>YES</v>
      </c>
      <c r="I465" s="557" t="s">
        <v>410</v>
      </c>
      <c r="J465" s="508" t="s">
        <v>300</v>
      </c>
      <c r="K465" s="508"/>
      <c r="L465" s="508"/>
      <c r="M465" s="508"/>
      <c r="N465" s="508"/>
      <c r="O465" s="508"/>
      <c r="P465" s="395"/>
      <c r="Q465" s="395"/>
      <c r="R465" s="395"/>
      <c r="S465" s="395"/>
      <c r="T465" s="395"/>
      <c r="U465" s="255" t="s">
        <v>574</v>
      </c>
      <c r="V465" s="551"/>
      <c r="W465" s="542" t="str">
        <f t="shared" si="765"/>
        <v>CA6_A8+ NA-</v>
      </c>
      <c r="X465" s="552" t="str">
        <f>I465&amp;TEXT(J465,"0")&amp;"_"&amp;LEFT(Control!$D$23,1)&amp;LEFT(Control!$D$22,LEN(Control!$D$22)-2)</f>
        <v>CA6_A8</v>
      </c>
      <c r="Y465" s="552" t="s">
        <v>433</v>
      </c>
      <c r="Z465" s="552" t="str">
        <f t="shared" si="779"/>
        <v>NA-</v>
      </c>
      <c r="AA465" s="552"/>
      <c r="AB465" s="552">
        <v>1</v>
      </c>
      <c r="AC465" s="552">
        <v>1</v>
      </c>
      <c r="AD465" s="552">
        <v>1</v>
      </c>
      <c r="AE465" s="552">
        <v>1</v>
      </c>
      <c r="AF465" s="552">
        <v>1</v>
      </c>
      <c r="AG465" s="542" t="s">
        <v>561</v>
      </c>
      <c r="AH465" s="552">
        <v>0</v>
      </c>
      <c r="AI465" s="552">
        <v>0</v>
      </c>
      <c r="AJ465" s="552">
        <v>1</v>
      </c>
      <c r="AK465" s="552">
        <v>1</v>
      </c>
      <c r="AL465" s="552">
        <v>1</v>
      </c>
      <c r="AM465" s="552">
        <v>0</v>
      </c>
      <c r="AN465" s="552">
        <v>0</v>
      </c>
      <c r="AO465" s="552">
        <v>1</v>
      </c>
      <c r="AP465" s="552">
        <v>1</v>
      </c>
      <c r="AQ465" s="552">
        <v>1</v>
      </c>
      <c r="AR465" s="552">
        <v>1</v>
      </c>
      <c r="AS465" s="552">
        <v>1</v>
      </c>
      <c r="AT465" s="552">
        <v>1</v>
      </c>
      <c r="AU465" s="552">
        <v>1</v>
      </c>
      <c r="AV465" s="553" t="str">
        <f>IF(H465="YES","'"&amp;INDEX('Structure Groups'!$C$12:$C$14,MATCH('Load Criteria'!$B$5,'Structure Groups'!$B$12:$B$14,0),1)&amp;"'","'All'")</f>
        <v>'GL Max 800m'</v>
      </c>
      <c r="AW465" s="552" t="s">
        <v>562</v>
      </c>
      <c r="AX465" s="552"/>
      <c r="AY465" s="552" t="str">
        <f t="shared" si="766"/>
        <v>No</v>
      </c>
      <c r="AZ465" s="554" t="str">
        <f t="shared" si="767"/>
        <v/>
      </c>
      <c r="BA465" s="554" t="str">
        <f t="shared" si="768"/>
        <v/>
      </c>
      <c r="BB465" s="552" t="str">
        <f t="shared" si="780"/>
        <v/>
      </c>
      <c r="BC465" s="554" t="str">
        <f t="shared" si="769"/>
        <v/>
      </c>
      <c r="BD465" s="554" t="str">
        <f t="shared" si="770"/>
        <v/>
      </c>
      <c r="BE465" s="552" t="str">
        <f t="shared" si="781"/>
        <v/>
      </c>
      <c r="BF465" s="554" t="str">
        <f t="shared" si="771"/>
        <v/>
      </c>
      <c r="BG465" s="554" t="str">
        <f t="shared" si="772"/>
        <v/>
      </c>
      <c r="BH465" s="552" t="str">
        <f t="shared" si="782"/>
        <v/>
      </c>
      <c r="BI465" s="554" t="str">
        <f t="shared" si="773"/>
        <v/>
      </c>
      <c r="BJ465" s="554" t="str">
        <f t="shared" si="774"/>
        <v/>
      </c>
      <c r="BK465" s="552" t="str">
        <f t="shared" si="783"/>
        <v/>
      </c>
      <c r="BL465" s="554" t="str">
        <f t="shared" si="775"/>
        <v/>
      </c>
      <c r="BM465" s="554" t="str">
        <f t="shared" si="776"/>
        <v/>
      </c>
      <c r="BN465" s="552" t="str">
        <f t="shared" si="784"/>
        <v/>
      </c>
      <c r="BO465" s="554" t="str">
        <f t="shared" si="777"/>
        <v/>
      </c>
      <c r="BP465" s="554" t="str">
        <f t="shared" si="778"/>
        <v/>
      </c>
      <c r="BQ465" s="552" t="str">
        <f t="shared" si="785"/>
        <v/>
      </c>
      <c r="BR465" s="554"/>
      <c r="BS465" s="554"/>
      <c r="BT465" s="554"/>
      <c r="BU465" s="554"/>
      <c r="BV465" s="554"/>
      <c r="BW465" s="554"/>
      <c r="BX465" s="554"/>
      <c r="BY465" s="554"/>
      <c r="BZ465" s="554"/>
      <c r="CA465" s="554"/>
      <c r="CB465" s="554"/>
      <c r="CC465" s="554"/>
      <c r="CD465" s="554"/>
      <c r="CE465" s="554"/>
      <c r="CF465" s="554"/>
      <c r="CG465" s="554"/>
      <c r="CH465" s="554"/>
      <c r="CI465" s="554"/>
      <c r="CJ465" s="554"/>
      <c r="CK465" s="554"/>
      <c r="CL465" s="554"/>
      <c r="CM465" s="554"/>
      <c r="CN465" s="554"/>
      <c r="CO465" s="554"/>
      <c r="CP465" s="554"/>
      <c r="CQ465" s="554"/>
      <c r="CR465" s="554"/>
      <c r="CS465" s="554"/>
      <c r="CT465" s="554"/>
      <c r="CU465" s="554"/>
      <c r="CV465" s="554"/>
      <c r="CW465" s="554"/>
      <c r="CX465" s="554"/>
      <c r="CY465" s="554"/>
      <c r="CZ465" s="554"/>
      <c r="DA465" s="554"/>
      <c r="DB465" s="554"/>
      <c r="DC465" s="554"/>
      <c r="DD465" s="554"/>
      <c r="DE465" s="534"/>
      <c r="DF465" s="534"/>
      <c r="DG465" s="534"/>
    </row>
    <row r="466" spans="1:111" ht="15" x14ac:dyDescent="0.25">
      <c r="A466" s="549">
        <f>IFERROR(IF(INDEX('Weather Cases'!$E$10:$E$94,MATCH('Load Criteria'!X466,'Weather Cases'!$H$10:$H$94,0),1)=1,1,"-"),"-")</f>
        <v>1</v>
      </c>
      <c r="B466" s="555" t="s">
        <v>558</v>
      </c>
      <c r="C466" s="556" t="str">
        <f>IF('Weather Cases'!$E$40=0,"","DC/SC")</f>
        <v>DC/SC</v>
      </c>
      <c r="D466" s="556" t="s">
        <v>591</v>
      </c>
      <c r="E466" s="556" t="s">
        <v>22</v>
      </c>
      <c r="F466" s="556" t="s">
        <v>22</v>
      </c>
      <c r="G466" s="556" t="str">
        <f>IFERROR(IF(MID('Load Criteria'!X466,FIND("_",'Load Criteria'!X466,1)+1,1)=LEFT(Control!$D$23,1),"YES","-"),"-")</f>
        <v>YES</v>
      </c>
      <c r="H466" s="549" t="str">
        <f>IF(INDEX('Weather Cases'!$G$10:$G$94,MATCH('Load Criteria'!X466,'Weather Cases'!$H$10:$H$94,0),1)="H","YES","")</f>
        <v>YES</v>
      </c>
      <c r="I466" s="557" t="s">
        <v>412</v>
      </c>
      <c r="J466" s="508" t="s">
        <v>300</v>
      </c>
      <c r="K466" s="508"/>
      <c r="L466" s="508"/>
      <c r="M466" s="508"/>
      <c r="N466" s="508"/>
      <c r="O466" s="508"/>
      <c r="P466" s="395"/>
      <c r="Q466" s="395"/>
      <c r="R466" s="395"/>
      <c r="S466" s="395"/>
      <c r="T466" s="395"/>
      <c r="U466" s="255" t="s">
        <v>568</v>
      </c>
      <c r="V466" s="551"/>
      <c r="W466" s="542" t="str">
        <f t="shared" si="765"/>
        <v>CA1_A8+ NA+</v>
      </c>
      <c r="X466" s="552" t="str">
        <f>I466&amp;TEXT(J466,"0")&amp;"_"&amp;LEFT(Control!$D$23,1)&amp;LEFT(Control!$D$22,LEN(Control!$D$22)-2)</f>
        <v>CA1_A8</v>
      </c>
      <c r="Y466" s="552" t="s">
        <v>433</v>
      </c>
      <c r="Z466" s="552" t="str">
        <f t="shared" si="779"/>
        <v>NA+</v>
      </c>
      <c r="AA466" s="552"/>
      <c r="AB466" s="552">
        <v>1</v>
      </c>
      <c r="AC466" s="552">
        <v>1</v>
      </c>
      <c r="AD466" s="552">
        <v>1</v>
      </c>
      <c r="AE466" s="552">
        <v>1</v>
      </c>
      <c r="AF466" s="552">
        <v>1</v>
      </c>
      <c r="AG466" s="542" t="s">
        <v>561</v>
      </c>
      <c r="AH466" s="552">
        <v>0</v>
      </c>
      <c r="AI466" s="552">
        <v>0</v>
      </c>
      <c r="AJ466" s="552">
        <v>1</v>
      </c>
      <c r="AK466" s="552">
        <v>1</v>
      </c>
      <c r="AL466" s="552">
        <v>1</v>
      </c>
      <c r="AM466" s="552">
        <v>0</v>
      </c>
      <c r="AN466" s="552">
        <v>0</v>
      </c>
      <c r="AO466" s="552">
        <v>1</v>
      </c>
      <c r="AP466" s="552">
        <v>1</v>
      </c>
      <c r="AQ466" s="552">
        <v>1</v>
      </c>
      <c r="AR466" s="552">
        <v>1</v>
      </c>
      <c r="AS466" s="552">
        <v>1</v>
      </c>
      <c r="AT466" s="552">
        <v>1</v>
      </c>
      <c r="AU466" s="552">
        <v>1</v>
      </c>
      <c r="AV466" s="553" t="str">
        <f>IF(H466="YES","'"&amp;INDEX('Structure Groups'!$C$12:$C$14,MATCH('Load Criteria'!$B$5,'Structure Groups'!$B$12:$B$14,0),1)&amp;"'","'All'")</f>
        <v>'GL Max 800m'</v>
      </c>
      <c r="AW466" s="552" t="s">
        <v>562</v>
      </c>
      <c r="AX466" s="552"/>
      <c r="AY466" s="552" t="str">
        <f t="shared" si="766"/>
        <v>No</v>
      </c>
      <c r="AZ466" s="554" t="str">
        <f t="shared" si="767"/>
        <v/>
      </c>
      <c r="BA466" s="554" t="str">
        <f t="shared" si="768"/>
        <v/>
      </c>
      <c r="BB466" s="552" t="str">
        <f t="shared" si="780"/>
        <v/>
      </c>
      <c r="BC466" s="554" t="str">
        <f t="shared" si="769"/>
        <v/>
      </c>
      <c r="BD466" s="554" t="str">
        <f t="shared" si="770"/>
        <v/>
      </c>
      <c r="BE466" s="552" t="str">
        <f t="shared" si="781"/>
        <v/>
      </c>
      <c r="BF466" s="554" t="str">
        <f t="shared" si="771"/>
        <v/>
      </c>
      <c r="BG466" s="554" t="str">
        <f t="shared" si="772"/>
        <v/>
      </c>
      <c r="BH466" s="552" t="str">
        <f t="shared" si="782"/>
        <v/>
      </c>
      <c r="BI466" s="554" t="str">
        <f t="shared" si="773"/>
        <v/>
      </c>
      <c r="BJ466" s="554" t="str">
        <f t="shared" si="774"/>
        <v/>
      </c>
      <c r="BK466" s="552" t="str">
        <f t="shared" si="783"/>
        <v/>
      </c>
      <c r="BL466" s="554" t="str">
        <f t="shared" si="775"/>
        <v/>
      </c>
      <c r="BM466" s="554" t="str">
        <f t="shared" si="776"/>
        <v/>
      </c>
      <c r="BN466" s="552" t="str">
        <f t="shared" si="784"/>
        <v/>
      </c>
      <c r="BO466" s="554" t="str">
        <f t="shared" si="777"/>
        <v/>
      </c>
      <c r="BP466" s="554" t="str">
        <f t="shared" si="778"/>
        <v/>
      </c>
      <c r="BQ466" s="552" t="str">
        <f t="shared" si="785"/>
        <v/>
      </c>
      <c r="BR466" s="554"/>
      <c r="BS466" s="554"/>
      <c r="BT466" s="554"/>
      <c r="BU466" s="554"/>
      <c r="BV466" s="554"/>
      <c r="BW466" s="554"/>
      <c r="BX466" s="554"/>
      <c r="BY466" s="554"/>
      <c r="BZ466" s="554"/>
      <c r="CA466" s="554"/>
      <c r="CB466" s="554"/>
      <c r="CC466" s="554"/>
      <c r="CD466" s="554"/>
      <c r="CE466" s="554"/>
      <c r="CF466" s="554"/>
      <c r="CG466" s="554"/>
      <c r="CH466" s="554"/>
      <c r="CI466" s="554"/>
      <c r="CJ466" s="554"/>
      <c r="CK466" s="554"/>
      <c r="CL466" s="554"/>
      <c r="CM466" s="554"/>
      <c r="CN466" s="554"/>
      <c r="CO466" s="554"/>
      <c r="CP466" s="554"/>
      <c r="CQ466" s="554"/>
      <c r="CR466" s="554"/>
      <c r="CS466" s="554"/>
      <c r="CT466" s="554"/>
      <c r="CU466" s="554"/>
      <c r="CV466" s="554"/>
      <c r="CW466" s="554"/>
      <c r="CX466" s="554"/>
      <c r="CY466" s="554"/>
      <c r="CZ466" s="554"/>
      <c r="DA466" s="554"/>
      <c r="DB466" s="554"/>
      <c r="DC466" s="554"/>
      <c r="DD466" s="554"/>
      <c r="DE466" s="534"/>
      <c r="DF466" s="534"/>
      <c r="DG466" s="534"/>
    </row>
    <row r="467" spans="1:111" ht="15" x14ac:dyDescent="0.25">
      <c r="A467" s="549">
        <f>IFERROR(IF(INDEX('Weather Cases'!$E$10:$E$94,MATCH('Load Criteria'!X467,'Weather Cases'!$H$10:$H$94,0),1)=1,1,"-"),"-")</f>
        <v>1</v>
      </c>
      <c r="B467" s="555" t="s">
        <v>558</v>
      </c>
      <c r="C467" s="556" t="str">
        <f>IF('Weather Cases'!$E$40=0,"","DC/SC")</f>
        <v>DC/SC</v>
      </c>
      <c r="D467" s="556" t="s">
        <v>591</v>
      </c>
      <c r="E467" s="556" t="s">
        <v>22</v>
      </c>
      <c r="F467" s="556" t="s">
        <v>22</v>
      </c>
      <c r="G467" s="556" t="str">
        <f>IFERROR(IF(MID('Load Criteria'!X467,FIND("_",'Load Criteria'!X467,1)+1,1)=LEFT(Control!$D$23,1),"YES","-"),"-")</f>
        <v>YES</v>
      </c>
      <c r="H467" s="549" t="str">
        <f>IF(INDEX('Weather Cases'!$G$10:$G$94,MATCH('Load Criteria'!X467,'Weather Cases'!$H$10:$H$94,0),1)="H","YES","")</f>
        <v>YES</v>
      </c>
      <c r="I467" s="557" t="s">
        <v>412</v>
      </c>
      <c r="J467" s="508" t="s">
        <v>300</v>
      </c>
      <c r="K467" s="508"/>
      <c r="L467" s="508"/>
      <c r="M467" s="508"/>
      <c r="N467" s="508"/>
      <c r="O467" s="508"/>
      <c r="P467" s="395"/>
      <c r="Q467" s="395"/>
      <c r="R467" s="395"/>
      <c r="S467" s="395"/>
      <c r="T467" s="395"/>
      <c r="U467" s="255" t="s">
        <v>574</v>
      </c>
      <c r="V467" s="551"/>
      <c r="W467" s="542" t="str">
        <f t="shared" si="765"/>
        <v>CA1_A8+ NA-</v>
      </c>
      <c r="X467" s="552" t="str">
        <f>I467&amp;TEXT(J467,"0")&amp;"_"&amp;LEFT(Control!$D$23,1)&amp;LEFT(Control!$D$22,LEN(Control!$D$22)-2)</f>
        <v>CA1_A8</v>
      </c>
      <c r="Y467" s="552" t="s">
        <v>433</v>
      </c>
      <c r="Z467" s="552" t="str">
        <f t="shared" si="779"/>
        <v>NA-</v>
      </c>
      <c r="AA467" s="552"/>
      <c r="AB467" s="552">
        <v>1</v>
      </c>
      <c r="AC467" s="552">
        <v>1</v>
      </c>
      <c r="AD467" s="552">
        <v>1</v>
      </c>
      <c r="AE467" s="552">
        <v>1</v>
      </c>
      <c r="AF467" s="552">
        <v>1</v>
      </c>
      <c r="AG467" s="542" t="s">
        <v>561</v>
      </c>
      <c r="AH467" s="552">
        <v>0</v>
      </c>
      <c r="AI467" s="552">
        <v>0</v>
      </c>
      <c r="AJ467" s="552">
        <v>1</v>
      </c>
      <c r="AK467" s="552">
        <v>1</v>
      </c>
      <c r="AL467" s="552">
        <v>1</v>
      </c>
      <c r="AM467" s="552">
        <v>0</v>
      </c>
      <c r="AN467" s="552">
        <v>0</v>
      </c>
      <c r="AO467" s="552">
        <v>1</v>
      </c>
      <c r="AP467" s="552">
        <v>1</v>
      </c>
      <c r="AQ467" s="552">
        <v>1</v>
      </c>
      <c r="AR467" s="552">
        <v>1</v>
      </c>
      <c r="AS467" s="552">
        <v>1</v>
      </c>
      <c r="AT467" s="552">
        <v>1</v>
      </c>
      <c r="AU467" s="552">
        <v>1</v>
      </c>
      <c r="AV467" s="553" t="str">
        <f>IF(H467="YES","'"&amp;INDEX('Structure Groups'!$C$12:$C$14,MATCH('Load Criteria'!$B$5,'Structure Groups'!$B$12:$B$14,0),1)&amp;"'","'All'")</f>
        <v>'GL Max 800m'</v>
      </c>
      <c r="AW467" s="552" t="s">
        <v>562</v>
      </c>
      <c r="AX467" s="552"/>
      <c r="AY467" s="552" t="str">
        <f t="shared" si="766"/>
        <v>No</v>
      </c>
      <c r="AZ467" s="554" t="str">
        <f t="shared" si="767"/>
        <v/>
      </c>
      <c r="BA467" s="554" t="str">
        <f t="shared" si="768"/>
        <v/>
      </c>
      <c r="BB467" s="552" t="str">
        <f t="shared" si="780"/>
        <v/>
      </c>
      <c r="BC467" s="554" t="str">
        <f t="shared" si="769"/>
        <v/>
      </c>
      <c r="BD467" s="554" t="str">
        <f t="shared" si="770"/>
        <v/>
      </c>
      <c r="BE467" s="552" t="str">
        <f t="shared" si="781"/>
        <v/>
      </c>
      <c r="BF467" s="554" t="str">
        <f t="shared" si="771"/>
        <v/>
      </c>
      <c r="BG467" s="554" t="str">
        <f t="shared" si="772"/>
        <v/>
      </c>
      <c r="BH467" s="552" t="str">
        <f t="shared" si="782"/>
        <v/>
      </c>
      <c r="BI467" s="554" t="str">
        <f t="shared" si="773"/>
        <v/>
      </c>
      <c r="BJ467" s="554" t="str">
        <f t="shared" si="774"/>
        <v/>
      </c>
      <c r="BK467" s="552" t="str">
        <f t="shared" si="783"/>
        <v/>
      </c>
      <c r="BL467" s="554" t="str">
        <f t="shared" si="775"/>
        <v/>
      </c>
      <c r="BM467" s="554" t="str">
        <f t="shared" si="776"/>
        <v/>
      </c>
      <c r="BN467" s="552" t="str">
        <f t="shared" si="784"/>
        <v/>
      </c>
      <c r="BO467" s="554" t="str">
        <f t="shared" si="777"/>
        <v/>
      </c>
      <c r="BP467" s="554" t="str">
        <f t="shared" si="778"/>
        <v/>
      </c>
      <c r="BQ467" s="552" t="str">
        <f t="shared" si="785"/>
        <v/>
      </c>
      <c r="BR467" s="554"/>
      <c r="BS467" s="554"/>
      <c r="BT467" s="554"/>
      <c r="BU467" s="554"/>
      <c r="BV467" s="554"/>
      <c r="BW467" s="554"/>
      <c r="BX467" s="554"/>
      <c r="BY467" s="554"/>
      <c r="BZ467" s="554"/>
      <c r="CA467" s="554"/>
      <c r="CB467" s="554"/>
      <c r="CC467" s="554"/>
      <c r="CD467" s="554"/>
      <c r="CE467" s="554"/>
      <c r="CF467" s="554"/>
      <c r="CG467" s="554"/>
      <c r="CH467" s="554"/>
      <c r="CI467" s="554"/>
      <c r="CJ467" s="554"/>
      <c r="CK467" s="554"/>
      <c r="CL467" s="554"/>
      <c r="CM467" s="554"/>
      <c r="CN467" s="554"/>
      <c r="CO467" s="554"/>
      <c r="CP467" s="554"/>
      <c r="CQ467" s="554"/>
      <c r="CR467" s="554"/>
      <c r="CS467" s="554"/>
      <c r="CT467" s="554"/>
      <c r="CU467" s="554"/>
      <c r="CV467" s="554"/>
      <c r="CW467" s="554"/>
      <c r="CX467" s="554"/>
      <c r="CY467" s="554"/>
      <c r="CZ467" s="554"/>
      <c r="DA467" s="554"/>
      <c r="DB467" s="554"/>
      <c r="DC467" s="554"/>
      <c r="DD467" s="554"/>
      <c r="DE467" s="534"/>
      <c r="DF467" s="534"/>
      <c r="DG467" s="534"/>
    </row>
    <row r="468" spans="1:111" ht="15" x14ac:dyDescent="0.25">
      <c r="A468" s="549">
        <f>IFERROR(IF(INDEX('Weather Cases'!$E$10:$E$94,MATCH('Load Criteria'!X468,'Weather Cases'!$H$10:$H$94,0),1)=1,1,"-"),"-")</f>
        <v>1</v>
      </c>
      <c r="B468" s="555" t="s">
        <v>558</v>
      </c>
      <c r="C468" s="556" t="str">
        <f>IF('Weather Cases'!$E$40=0,"","DC/SC")</f>
        <v>DC/SC</v>
      </c>
      <c r="D468" s="556" t="s">
        <v>591</v>
      </c>
      <c r="E468" s="556" t="s">
        <v>22</v>
      </c>
      <c r="F468" s="556" t="s">
        <v>22</v>
      </c>
      <c r="G468" s="556" t="str">
        <f>IFERROR(IF(MID('Load Criteria'!X468,FIND("_",'Load Criteria'!X468,1)+1,1)=LEFT(Control!$D$23,1),"YES","-"),"-")</f>
        <v>YES</v>
      </c>
      <c r="H468" s="549" t="str">
        <f>IF(INDEX('Weather Cases'!$G$10:$G$94,MATCH('Load Criteria'!X468,'Weather Cases'!$H$10:$H$94,0),1)="H","YES","")</f>
        <v>YES</v>
      </c>
      <c r="I468" s="557" t="s">
        <v>414</v>
      </c>
      <c r="J468" s="508" t="s">
        <v>300</v>
      </c>
      <c r="K468" s="508"/>
      <c r="L468" s="508"/>
      <c r="M468" s="508"/>
      <c r="N468" s="508"/>
      <c r="O468" s="508"/>
      <c r="P468" s="395"/>
      <c r="Q468" s="395"/>
      <c r="R468" s="395"/>
      <c r="S468" s="395"/>
      <c r="T468" s="395"/>
      <c r="U468" s="255" t="s">
        <v>568</v>
      </c>
      <c r="V468" s="551"/>
      <c r="W468" s="542" t="str">
        <f t="shared" si="765"/>
        <v>CA0_A8+ NA+</v>
      </c>
      <c r="X468" s="552" t="str">
        <f>I468&amp;TEXT(J468,"0")&amp;"_"&amp;LEFT(Control!$D$23,1)&amp;LEFT(Control!$D$22,LEN(Control!$D$22)-2)</f>
        <v>CA0_A8</v>
      </c>
      <c r="Y468" s="552" t="s">
        <v>433</v>
      </c>
      <c r="Z468" s="552" t="str">
        <f t="shared" si="779"/>
        <v>NA+</v>
      </c>
      <c r="AA468" s="552"/>
      <c r="AB468" s="552">
        <v>1</v>
      </c>
      <c r="AC468" s="552">
        <v>1</v>
      </c>
      <c r="AD468" s="552">
        <v>1</v>
      </c>
      <c r="AE468" s="552">
        <v>1</v>
      </c>
      <c r="AF468" s="552">
        <v>1</v>
      </c>
      <c r="AG468" s="542" t="s">
        <v>561</v>
      </c>
      <c r="AH468" s="552">
        <v>0</v>
      </c>
      <c r="AI468" s="552">
        <v>0</v>
      </c>
      <c r="AJ468" s="552">
        <v>1</v>
      </c>
      <c r="AK468" s="552">
        <v>1</v>
      </c>
      <c r="AL468" s="552">
        <v>1</v>
      </c>
      <c r="AM468" s="552">
        <v>0</v>
      </c>
      <c r="AN468" s="552">
        <v>0</v>
      </c>
      <c r="AO468" s="552">
        <v>1</v>
      </c>
      <c r="AP468" s="552">
        <v>1</v>
      </c>
      <c r="AQ468" s="552">
        <v>1</v>
      </c>
      <c r="AR468" s="552">
        <v>1</v>
      </c>
      <c r="AS468" s="552">
        <v>1</v>
      </c>
      <c r="AT468" s="552">
        <v>1</v>
      </c>
      <c r="AU468" s="552">
        <v>1</v>
      </c>
      <c r="AV468" s="553" t="str">
        <f>IF(H468="YES","'"&amp;INDEX('Structure Groups'!$C$12:$C$14,MATCH('Load Criteria'!$B$5,'Structure Groups'!$B$12:$B$14,0),1)&amp;"'","'All'")</f>
        <v>'GL Max 800m'</v>
      </c>
      <c r="AW468" s="552" t="s">
        <v>562</v>
      </c>
      <c r="AX468" s="552"/>
      <c r="AY468" s="552" t="str">
        <f t="shared" si="766"/>
        <v>No</v>
      </c>
      <c r="AZ468" s="554" t="str">
        <f t="shared" si="767"/>
        <v/>
      </c>
      <c r="BA468" s="554" t="str">
        <f t="shared" si="768"/>
        <v/>
      </c>
      <c r="BB468" s="552" t="str">
        <f t="shared" si="780"/>
        <v/>
      </c>
      <c r="BC468" s="554" t="str">
        <f t="shared" si="769"/>
        <v/>
      </c>
      <c r="BD468" s="554" t="str">
        <f t="shared" si="770"/>
        <v/>
      </c>
      <c r="BE468" s="552" t="str">
        <f t="shared" si="781"/>
        <v/>
      </c>
      <c r="BF468" s="554" t="str">
        <f t="shared" si="771"/>
        <v/>
      </c>
      <c r="BG468" s="554" t="str">
        <f t="shared" si="772"/>
        <v/>
      </c>
      <c r="BH468" s="552" t="str">
        <f t="shared" si="782"/>
        <v/>
      </c>
      <c r="BI468" s="554" t="str">
        <f t="shared" si="773"/>
        <v/>
      </c>
      <c r="BJ468" s="554" t="str">
        <f t="shared" si="774"/>
        <v/>
      </c>
      <c r="BK468" s="552" t="str">
        <f t="shared" si="783"/>
        <v/>
      </c>
      <c r="BL468" s="554" t="str">
        <f t="shared" si="775"/>
        <v/>
      </c>
      <c r="BM468" s="554" t="str">
        <f t="shared" si="776"/>
        <v/>
      </c>
      <c r="BN468" s="552" t="str">
        <f t="shared" si="784"/>
        <v/>
      </c>
      <c r="BO468" s="554" t="str">
        <f t="shared" si="777"/>
        <v/>
      </c>
      <c r="BP468" s="554" t="str">
        <f t="shared" si="778"/>
        <v/>
      </c>
      <c r="BQ468" s="552" t="str">
        <f t="shared" si="785"/>
        <v/>
      </c>
      <c r="BR468" s="554"/>
      <c r="BS468" s="554"/>
      <c r="BT468" s="554"/>
      <c r="BU468" s="554"/>
      <c r="BV468" s="554"/>
      <c r="BW468" s="554"/>
      <c r="BX468" s="554"/>
      <c r="BY468" s="554"/>
      <c r="BZ468" s="554"/>
      <c r="CA468" s="554"/>
      <c r="CB468" s="554"/>
      <c r="CC468" s="554"/>
      <c r="CD468" s="554"/>
      <c r="CE468" s="554"/>
      <c r="CF468" s="554"/>
      <c r="CG468" s="554"/>
      <c r="CH468" s="554"/>
      <c r="CI468" s="554"/>
      <c r="CJ468" s="554"/>
      <c r="CK468" s="554"/>
      <c r="CL468" s="554"/>
      <c r="CM468" s="554"/>
      <c r="CN468" s="554"/>
      <c r="CO468" s="554"/>
      <c r="CP468" s="554"/>
      <c r="CQ468" s="554"/>
      <c r="CR468" s="554"/>
      <c r="CS468" s="554"/>
      <c r="CT468" s="554"/>
      <c r="CU468" s="554"/>
      <c r="CV468" s="554"/>
      <c r="CW468" s="554"/>
      <c r="CX468" s="554"/>
      <c r="CY468" s="554"/>
      <c r="CZ468" s="554"/>
      <c r="DA468" s="554"/>
      <c r="DB468" s="554"/>
      <c r="DC468" s="554"/>
      <c r="DD468" s="554"/>
      <c r="DE468" s="534"/>
      <c r="DF468" s="534"/>
      <c r="DG468" s="534"/>
    </row>
    <row r="469" spans="1:111" ht="15" x14ac:dyDescent="0.25">
      <c r="A469" s="549">
        <f>IFERROR(IF(INDEX('Weather Cases'!$E$10:$E$94,MATCH('Load Criteria'!X469,'Weather Cases'!$H$10:$H$94,0),1)=1,1,"-"),"-")</f>
        <v>1</v>
      </c>
      <c r="B469" s="555" t="s">
        <v>558</v>
      </c>
      <c r="C469" s="556" t="str">
        <f>IF('Weather Cases'!$E$40=0,"","DC/SC")</f>
        <v>DC/SC</v>
      </c>
      <c r="D469" s="556" t="s">
        <v>591</v>
      </c>
      <c r="E469" s="556" t="s">
        <v>22</v>
      </c>
      <c r="F469" s="556" t="s">
        <v>22</v>
      </c>
      <c r="G469" s="556" t="str">
        <f>IFERROR(IF(MID('Load Criteria'!X469,FIND("_",'Load Criteria'!X469,1)+1,1)=LEFT(Control!$D$23,1),"YES","-"),"-")</f>
        <v>YES</v>
      </c>
      <c r="H469" s="549" t="str">
        <f>IF(INDEX('Weather Cases'!$G$10:$G$94,MATCH('Load Criteria'!X469,'Weather Cases'!$H$10:$H$94,0),1)="H","YES","")</f>
        <v>YES</v>
      </c>
      <c r="I469" s="557" t="s">
        <v>414</v>
      </c>
      <c r="J469" s="508" t="s">
        <v>300</v>
      </c>
      <c r="K469" s="508"/>
      <c r="L469" s="508"/>
      <c r="M469" s="508"/>
      <c r="N469" s="508"/>
      <c r="O469" s="508"/>
      <c r="P469" s="395"/>
      <c r="Q469" s="395"/>
      <c r="R469" s="395"/>
      <c r="S469" s="395"/>
      <c r="T469" s="395"/>
      <c r="U469" s="255" t="s">
        <v>574</v>
      </c>
      <c r="V469" s="551"/>
      <c r="W469" s="542" t="str">
        <f t="shared" si="765"/>
        <v>CA0_A8+ NA-</v>
      </c>
      <c r="X469" s="552" t="str">
        <f>I469&amp;TEXT(J469,"0")&amp;"_"&amp;LEFT(Control!$D$23,1)&amp;LEFT(Control!$D$22,LEN(Control!$D$22)-2)</f>
        <v>CA0_A8</v>
      </c>
      <c r="Y469" s="552" t="s">
        <v>433</v>
      </c>
      <c r="Z469" s="552" t="str">
        <f t="shared" si="779"/>
        <v>NA-</v>
      </c>
      <c r="AA469" s="552"/>
      <c r="AB469" s="552">
        <v>1</v>
      </c>
      <c r="AC469" s="552">
        <v>1</v>
      </c>
      <c r="AD469" s="552">
        <v>1</v>
      </c>
      <c r="AE469" s="552">
        <v>1</v>
      </c>
      <c r="AF469" s="552">
        <v>1</v>
      </c>
      <c r="AG469" s="542" t="s">
        <v>561</v>
      </c>
      <c r="AH469" s="552">
        <v>0</v>
      </c>
      <c r="AI469" s="552">
        <v>0</v>
      </c>
      <c r="AJ469" s="552">
        <v>1</v>
      </c>
      <c r="AK469" s="552">
        <v>1</v>
      </c>
      <c r="AL469" s="552">
        <v>1</v>
      </c>
      <c r="AM469" s="552">
        <v>0</v>
      </c>
      <c r="AN469" s="552">
        <v>0</v>
      </c>
      <c r="AO469" s="552">
        <v>1</v>
      </c>
      <c r="AP469" s="552">
        <v>1</v>
      </c>
      <c r="AQ469" s="552">
        <v>1</v>
      </c>
      <c r="AR469" s="552">
        <v>1</v>
      </c>
      <c r="AS469" s="552">
        <v>1</v>
      </c>
      <c r="AT469" s="552">
        <v>1</v>
      </c>
      <c r="AU469" s="552">
        <v>1</v>
      </c>
      <c r="AV469" s="553" t="str">
        <f>IF(H469="YES","'"&amp;INDEX('Structure Groups'!$C$12:$C$14,MATCH('Load Criteria'!$B$5,'Structure Groups'!$B$12:$B$14,0),1)&amp;"'","'All'")</f>
        <v>'GL Max 800m'</v>
      </c>
      <c r="AW469" s="552" t="s">
        <v>562</v>
      </c>
      <c r="AX469" s="552"/>
      <c r="AY469" s="552" t="str">
        <f t="shared" si="766"/>
        <v>No</v>
      </c>
      <c r="AZ469" s="554" t="str">
        <f t="shared" si="767"/>
        <v/>
      </c>
      <c r="BA469" s="554" t="str">
        <f t="shared" si="768"/>
        <v/>
      </c>
      <c r="BB469" s="552" t="str">
        <f t="shared" si="780"/>
        <v/>
      </c>
      <c r="BC469" s="554" t="str">
        <f t="shared" si="769"/>
        <v/>
      </c>
      <c r="BD469" s="554" t="str">
        <f t="shared" si="770"/>
        <v/>
      </c>
      <c r="BE469" s="552" t="str">
        <f t="shared" si="781"/>
        <v/>
      </c>
      <c r="BF469" s="554" t="str">
        <f t="shared" si="771"/>
        <v/>
      </c>
      <c r="BG469" s="554" t="str">
        <f t="shared" si="772"/>
        <v/>
      </c>
      <c r="BH469" s="552" t="str">
        <f t="shared" si="782"/>
        <v/>
      </c>
      <c r="BI469" s="554" t="str">
        <f t="shared" si="773"/>
        <v/>
      </c>
      <c r="BJ469" s="554" t="str">
        <f t="shared" si="774"/>
        <v/>
      </c>
      <c r="BK469" s="552" t="str">
        <f t="shared" si="783"/>
        <v/>
      </c>
      <c r="BL469" s="554" t="str">
        <f t="shared" si="775"/>
        <v/>
      </c>
      <c r="BM469" s="554" t="str">
        <f t="shared" si="776"/>
        <v/>
      </c>
      <c r="BN469" s="552" t="str">
        <f t="shared" si="784"/>
        <v/>
      </c>
      <c r="BO469" s="554" t="str">
        <f t="shared" si="777"/>
        <v/>
      </c>
      <c r="BP469" s="554" t="str">
        <f t="shared" si="778"/>
        <v/>
      </c>
      <c r="BQ469" s="552" t="str">
        <f t="shared" si="785"/>
        <v/>
      </c>
      <c r="BR469" s="554"/>
      <c r="BS469" s="554"/>
      <c r="BT469" s="554"/>
      <c r="BU469" s="554"/>
      <c r="BV469" s="554"/>
      <c r="BW469" s="554"/>
      <c r="BX469" s="554"/>
      <c r="BY469" s="554"/>
      <c r="BZ469" s="554"/>
      <c r="CA469" s="554"/>
      <c r="CB469" s="554"/>
      <c r="CC469" s="554"/>
      <c r="CD469" s="554"/>
      <c r="CE469" s="554"/>
      <c r="CF469" s="554"/>
      <c r="CG469" s="554"/>
      <c r="CH469" s="554"/>
      <c r="CI469" s="554"/>
      <c r="CJ469" s="554"/>
      <c r="CK469" s="554"/>
      <c r="CL469" s="554"/>
      <c r="CM469" s="554"/>
      <c r="CN469" s="554"/>
      <c r="CO469" s="554"/>
      <c r="CP469" s="554"/>
      <c r="CQ469" s="554"/>
      <c r="CR469" s="554"/>
      <c r="CS469" s="554"/>
      <c r="CT469" s="554"/>
      <c r="CU469" s="554"/>
      <c r="CV469" s="554"/>
      <c r="CW469" s="554"/>
      <c r="CX469" s="554"/>
      <c r="CY469" s="554"/>
      <c r="CZ469" s="554"/>
      <c r="DA469" s="554"/>
      <c r="DB469" s="554"/>
      <c r="DC469" s="554"/>
      <c r="DD469" s="554"/>
      <c r="DE469" s="534"/>
      <c r="DF469" s="534"/>
      <c r="DG469" s="534"/>
    </row>
    <row r="470" spans="1:111" ht="15" hidden="1" x14ac:dyDescent="0.25">
      <c r="A470" s="549" t="str">
        <f>IFERROR(IF(INDEX('Weather Cases'!$E$10:$E$94,MATCH('Load Criteria'!X470,'Weather Cases'!$H$10:$H$94,0),1)=1,1,"-"),"-")</f>
        <v>-</v>
      </c>
      <c r="B470" s="556" t="s">
        <v>22</v>
      </c>
      <c r="C470" s="556" t="s">
        <v>22</v>
      </c>
      <c r="D470" s="556" t="s">
        <v>22</v>
      </c>
      <c r="E470" s="556" t="s">
        <v>22</v>
      </c>
      <c r="F470" s="556" t="s">
        <v>22</v>
      </c>
      <c r="G470" s="556" t="str">
        <f>IFERROR(IF(MID('Load Criteria'!X470,FIND("_",'Load Criteria'!X470,1)+1,1)=LEFT(Control!$D$23,1),"YES","-"),"-")</f>
        <v>-</v>
      </c>
      <c r="H470" s="549" t="s">
        <v>22</v>
      </c>
      <c r="I470" s="256" t="s">
        <v>592</v>
      </c>
      <c r="J470" s="561"/>
      <c r="K470" s="561"/>
      <c r="L470" s="561"/>
      <c r="M470" s="561"/>
      <c r="N470" s="561"/>
      <c r="O470" s="561"/>
      <c r="P470" s="396"/>
      <c r="Q470" s="396"/>
      <c r="R470" s="396"/>
      <c r="S470" s="396"/>
      <c r="T470" s="396"/>
      <c r="U470" s="561"/>
      <c r="V470" s="561"/>
      <c r="W470" s="554"/>
      <c r="X470" s="554"/>
      <c r="Y470" s="554"/>
      <c r="Z470" s="554"/>
      <c r="AA470" s="554"/>
      <c r="AB470" s="554"/>
      <c r="AC470" s="554"/>
      <c r="AD470" s="554"/>
      <c r="AE470" s="554"/>
      <c r="AF470" s="554"/>
      <c r="AG470" s="554"/>
      <c r="AH470" s="554"/>
      <c r="AI470" s="554"/>
      <c r="AJ470" s="554"/>
      <c r="AK470" s="554"/>
      <c r="AL470" s="554"/>
      <c r="AM470" s="554"/>
      <c r="AN470" s="554"/>
      <c r="AO470" s="554"/>
      <c r="AP470" s="554"/>
      <c r="AQ470" s="554"/>
      <c r="AR470" s="554"/>
      <c r="AS470" s="554"/>
      <c r="AT470" s="554"/>
      <c r="AU470" s="554"/>
      <c r="AV470" s="553"/>
      <c r="AW470" s="554"/>
      <c r="AX470" s="554"/>
      <c r="AY470" s="554"/>
      <c r="AZ470" s="554"/>
      <c r="BA470" s="554"/>
      <c r="BB470" s="552"/>
      <c r="BC470" s="554"/>
      <c r="BD470" s="552"/>
      <c r="BE470" s="554"/>
      <c r="BF470" s="554"/>
      <c r="BG470" s="554"/>
      <c r="BH470" s="554"/>
      <c r="BI470" s="554"/>
      <c r="BJ470" s="554"/>
      <c r="BK470" s="554"/>
      <c r="BL470" s="554"/>
      <c r="BM470" s="554"/>
      <c r="BN470" s="554"/>
      <c r="BO470" s="554"/>
      <c r="BP470" s="554"/>
      <c r="BQ470" s="554"/>
      <c r="BR470" s="554"/>
      <c r="BS470" s="554"/>
      <c r="BT470" s="554"/>
      <c r="BU470" s="554"/>
      <c r="BV470" s="554"/>
      <c r="BW470" s="554"/>
      <c r="BX470" s="554"/>
      <c r="BY470" s="554"/>
      <c r="BZ470" s="554"/>
      <c r="CA470" s="554"/>
      <c r="CB470" s="554"/>
      <c r="CC470" s="554"/>
      <c r="CD470" s="554"/>
      <c r="CE470" s="554"/>
      <c r="CF470" s="554"/>
      <c r="CG470" s="554"/>
      <c r="CH470" s="554"/>
      <c r="CI470" s="554"/>
      <c r="CJ470" s="554"/>
      <c r="CK470" s="554"/>
      <c r="CL470" s="554"/>
      <c r="CM470" s="554"/>
      <c r="CN470" s="554"/>
      <c r="CO470" s="554"/>
      <c r="CP470" s="554"/>
      <c r="CQ470" s="554"/>
      <c r="CR470" s="554"/>
      <c r="CS470" s="554"/>
      <c r="CT470" s="554"/>
      <c r="CU470" s="554"/>
      <c r="CV470" s="554"/>
      <c r="CW470" s="554"/>
      <c r="CX470" s="554"/>
      <c r="CY470" s="554"/>
      <c r="CZ470" s="554"/>
      <c r="DA470" s="554"/>
      <c r="DB470" s="554"/>
      <c r="DC470" s="554"/>
      <c r="DD470" s="554"/>
      <c r="DE470" s="534"/>
      <c r="DF470" s="534"/>
      <c r="DG470" s="534"/>
    </row>
    <row r="471" spans="1:111" ht="15" x14ac:dyDescent="0.25">
      <c r="A471" s="549">
        <f>IFERROR(IF(INDEX('Weather Cases'!$E$10:$E$94,MATCH('Load Criteria'!X471,'Weather Cases'!$H$10:$H$94,0),1)=1,1,"-"),"-")</f>
        <v>1</v>
      </c>
      <c r="B471" s="555" t="s">
        <v>593</v>
      </c>
      <c r="C471" s="556" t="str">
        <f>IF('Weather Cases'!$E$40=0,"","DC/SC")</f>
        <v>DC/SC</v>
      </c>
      <c r="D471" s="556" t="s">
        <v>591</v>
      </c>
      <c r="E471" s="556" t="s">
        <v>22</v>
      </c>
      <c r="F471" s="556" t="s">
        <v>22</v>
      </c>
      <c r="G471" s="556" t="str">
        <f>IFERROR(IF(MID('Load Criteria'!X471,FIND("_",'Load Criteria'!X471,1)+1,1)=LEFT(Control!$D$23,1),"YES","-"),"-")</f>
        <v>-</v>
      </c>
      <c r="H471" s="549" t="s">
        <v>22</v>
      </c>
      <c r="I471" s="557" t="s">
        <v>357</v>
      </c>
      <c r="J471" s="508" t="s">
        <v>300</v>
      </c>
      <c r="K471" s="508"/>
      <c r="L471" s="508"/>
      <c r="M471" s="508"/>
      <c r="N471" s="508"/>
      <c r="O471" s="508"/>
      <c r="P471" s="395"/>
      <c r="Q471" s="395"/>
      <c r="R471" s="395"/>
      <c r="S471" s="395"/>
      <c r="T471" s="395"/>
      <c r="U471" s="255" t="s">
        <v>568</v>
      </c>
      <c r="V471" s="551"/>
      <c r="W471" s="542" t="str">
        <f>X471&amp;"+"&amp;K471&amp;IF(L471="","",CONCATENATE(L471,M471,N471,O471))&amp;" "&amp;U471</f>
        <v>EDS+ NA+</v>
      </c>
      <c r="X471" s="552" t="str">
        <f>I471&amp;TEXT(J471,"0")</f>
        <v>EDS</v>
      </c>
      <c r="Y471" s="552" t="s">
        <v>433</v>
      </c>
      <c r="Z471" s="552" t="str">
        <f>U471</f>
        <v>NA+</v>
      </c>
      <c r="AA471" s="552"/>
      <c r="AB471" s="552">
        <v>1</v>
      </c>
      <c r="AC471" s="552">
        <v>1</v>
      </c>
      <c r="AD471" s="552">
        <v>1</v>
      </c>
      <c r="AE471" s="552">
        <v>1</v>
      </c>
      <c r="AF471" s="552">
        <v>1</v>
      </c>
      <c r="AG471" s="542" t="s">
        <v>561</v>
      </c>
      <c r="AH471" s="552">
        <v>0</v>
      </c>
      <c r="AI471" s="552">
        <v>0</v>
      </c>
      <c r="AJ471" s="552">
        <v>1</v>
      </c>
      <c r="AK471" s="552">
        <v>1</v>
      </c>
      <c r="AL471" s="552">
        <v>1</v>
      </c>
      <c r="AM471" s="552">
        <v>0</v>
      </c>
      <c r="AN471" s="552">
        <v>0</v>
      </c>
      <c r="AO471" s="552">
        <v>1</v>
      </c>
      <c r="AP471" s="552">
        <v>1</v>
      </c>
      <c r="AQ471" s="552">
        <v>1</v>
      </c>
      <c r="AR471" s="552">
        <v>1</v>
      </c>
      <c r="AS471" s="552">
        <v>1</v>
      </c>
      <c r="AT471" s="552">
        <v>1</v>
      </c>
      <c r="AU471" s="552">
        <v>1</v>
      </c>
      <c r="AV471" s="553" t="str">
        <f>IF(H471="YES","'"&amp;INDEX('Structure Groups'!$C$12:$C$14,MATCH('Load Criteria'!$B$5,'Structure Groups'!$B$12:$B$14,0),1)&amp;"'","'All'")</f>
        <v>'All'</v>
      </c>
      <c r="AW471" s="552" t="s">
        <v>562</v>
      </c>
      <c r="AX471" s="552"/>
      <c r="AY471" s="552" t="str">
        <f t="shared" ref="AY471:AY493" si="786">IF(L471="","No","Yes")</f>
        <v>No</v>
      </c>
      <c r="AZ471" s="554" t="str">
        <f t="shared" ref="AZ471:AZ489" si="787">IF($M471="","",$M471&amp;":1:"&amp;IF($L471="A","Ahead","Back"))</f>
        <v/>
      </c>
      <c r="BA471" s="554" t="str">
        <f>IF(AZ471="","","Broken Wire (# Broken Subconductors)")</f>
        <v/>
      </c>
      <c r="BB471" s="552" t="str">
        <f t="shared" ref="BB471:BB486" si="788">IF(AZ471="","",4)</f>
        <v/>
      </c>
      <c r="BC471" s="554" t="str">
        <f t="shared" ref="BC471:BC489" si="789">IF($M471="","",$M471+10&amp;":1:"&amp;IF($L471="A","Ahead","Back"))</f>
        <v/>
      </c>
      <c r="BD471" s="554" t="str">
        <f>IF(BC471="","","Broken Wire (# Broken Subconductors)")</f>
        <v/>
      </c>
      <c r="BE471" s="552" t="str">
        <f t="shared" ref="BE471:BE486" si="790">IF(BC471="","",4)</f>
        <v/>
      </c>
      <c r="BF471" s="554" t="str">
        <f t="shared" ref="BF471:BF489" si="791">IF($N471="","",$N471&amp;":1:"&amp;IF($L471="A","Back","Ahead"))</f>
        <v/>
      </c>
      <c r="BG471" s="554" t="str">
        <f>IF(BF471="","","Broken Wire (# Broken Subconductors)")</f>
        <v/>
      </c>
      <c r="BH471" s="552" t="str">
        <f t="shared" ref="BH471:BH486" si="792">IF(BF471="","",4)</f>
        <v/>
      </c>
      <c r="BI471" s="554" t="str">
        <f t="shared" ref="BI471:BI489" si="793">IF($N471="","",$N471+10&amp;":1:"&amp;IF($L471="A","Ahead","Back"))</f>
        <v/>
      </c>
      <c r="BJ471" s="554" t="str">
        <f>IF(BI471="","","Broken Wire (# Broken Subconductors)")</f>
        <v/>
      </c>
      <c r="BK471" s="552" t="str">
        <f t="shared" ref="BK471:BK486" si="794">IF(BI471="","",4)</f>
        <v/>
      </c>
      <c r="BL471" s="554" t="str">
        <f t="shared" ref="BL471:BL489" si="795">IF($O471="","",$O471&amp;":1:"&amp;IF($L471="A","Ahead","Back"))</f>
        <v/>
      </c>
      <c r="BM471" s="554" t="str">
        <f>IF(BL471="","","Broken Wire (# Broken Subconductors)")</f>
        <v/>
      </c>
      <c r="BN471" s="552" t="str">
        <f t="shared" ref="BN471:BN486" si="796">IF(BL471="","",4)</f>
        <v/>
      </c>
      <c r="BO471" s="554" t="str">
        <f t="shared" ref="BO471:BO489" si="797">IF($O471="","",$O471+10&amp;":1:"&amp;IF($L471="A","Ahead","Back"))</f>
        <v/>
      </c>
      <c r="BP471" s="554" t="str">
        <f>IF(BO471="","","Broken Wire (# Broken Subconductors)")</f>
        <v/>
      </c>
      <c r="BQ471" s="552" t="str">
        <f t="shared" ref="BQ471:BQ486" si="798">IF(BO471="","",4)</f>
        <v/>
      </c>
      <c r="BR471" s="554"/>
      <c r="BS471" s="554"/>
      <c r="BT471" s="554"/>
      <c r="BU471" s="554"/>
      <c r="BV471" s="554"/>
      <c r="BW471" s="554"/>
      <c r="BX471" s="554"/>
      <c r="BY471" s="554"/>
      <c r="BZ471" s="554"/>
      <c r="CA471" s="554"/>
      <c r="CB471" s="554"/>
      <c r="CC471" s="554"/>
      <c r="CD471" s="554"/>
      <c r="CE471" s="554"/>
      <c r="CF471" s="554"/>
      <c r="CG471" s="554"/>
      <c r="CH471" s="554"/>
      <c r="CI471" s="554"/>
      <c r="CJ471" s="554"/>
      <c r="CK471" s="554"/>
      <c r="CL471" s="554"/>
      <c r="CM471" s="554"/>
      <c r="CN471" s="554"/>
      <c r="CO471" s="554"/>
      <c r="CP471" s="554"/>
      <c r="CQ471" s="554"/>
      <c r="CR471" s="554"/>
      <c r="CS471" s="554"/>
      <c r="CT471" s="554"/>
      <c r="CU471" s="554"/>
      <c r="CV471" s="554"/>
      <c r="CW471" s="554"/>
      <c r="CX471" s="554"/>
      <c r="CY471" s="554"/>
      <c r="CZ471" s="554"/>
      <c r="DA471" s="554"/>
      <c r="DB471" s="554"/>
      <c r="DC471" s="554"/>
      <c r="DD471" s="554"/>
      <c r="DE471" s="534"/>
      <c r="DF471" s="534"/>
      <c r="DG471" s="534"/>
    </row>
    <row r="472" spans="1:111" ht="15" x14ac:dyDescent="0.25">
      <c r="A472" s="549">
        <f>IFERROR(IF(INDEX('Weather Cases'!$E$10:$E$94,MATCH('Load Criteria'!X472,'Weather Cases'!$H$10:$H$94,0),1)=1,1,"-"),"-")</f>
        <v>1</v>
      </c>
      <c r="B472" s="555" t="s">
        <v>558</v>
      </c>
      <c r="C472" s="556" t="str">
        <f>IF('Weather Cases'!$E$40=0,"","DC/SC")</f>
        <v>DC/SC</v>
      </c>
      <c r="D472" s="556" t="s">
        <v>591</v>
      </c>
      <c r="E472" s="556" t="s">
        <v>22</v>
      </c>
      <c r="F472" s="556" t="s">
        <v>22</v>
      </c>
      <c r="G472" s="556" t="str">
        <f>IFERROR(IF(MID('Load Criteria'!X472,FIND("_",'Load Criteria'!X472,1)+1,1)=LEFT(Control!$D$23,1),"YES","-"),"-")</f>
        <v>-</v>
      </c>
      <c r="H472" s="549" t="s">
        <v>22</v>
      </c>
      <c r="I472" s="557" t="s">
        <v>359</v>
      </c>
      <c r="J472" s="508" t="s">
        <v>300</v>
      </c>
      <c r="K472" s="508"/>
      <c r="L472" s="508"/>
      <c r="M472" s="508"/>
      <c r="N472" s="508"/>
      <c r="O472" s="508"/>
      <c r="P472" s="395"/>
      <c r="Q472" s="395"/>
      <c r="R472" s="395"/>
      <c r="S472" s="395"/>
      <c r="T472" s="395"/>
      <c r="U472" s="255" t="s">
        <v>568</v>
      </c>
      <c r="V472" s="551"/>
      <c r="W472" s="542" t="str">
        <f>X472&amp;"+"&amp;K472&amp;IF(L472="","",CONCATENATE(L472,M472,N472,O472))&amp;" "&amp;U472</f>
        <v>EDW+ NA+</v>
      </c>
      <c r="X472" s="552" t="str">
        <f>I472&amp;TEXT(J472,"0")</f>
        <v>EDW</v>
      </c>
      <c r="Y472" s="552" t="s">
        <v>433</v>
      </c>
      <c r="Z472" s="552" t="str">
        <f>U472</f>
        <v>NA+</v>
      </c>
      <c r="AA472" s="552"/>
      <c r="AB472" s="552">
        <v>1</v>
      </c>
      <c r="AC472" s="552">
        <v>1</v>
      </c>
      <c r="AD472" s="552">
        <v>1</v>
      </c>
      <c r="AE472" s="552">
        <v>1</v>
      </c>
      <c r="AF472" s="552">
        <v>1</v>
      </c>
      <c r="AG472" s="542" t="s">
        <v>561</v>
      </c>
      <c r="AH472" s="552">
        <v>0</v>
      </c>
      <c r="AI472" s="552">
        <v>0</v>
      </c>
      <c r="AJ472" s="552">
        <v>1</v>
      </c>
      <c r="AK472" s="552">
        <v>1</v>
      </c>
      <c r="AL472" s="552">
        <v>1</v>
      </c>
      <c r="AM472" s="552">
        <v>0</v>
      </c>
      <c r="AN472" s="552">
        <v>0</v>
      </c>
      <c r="AO472" s="552">
        <v>1</v>
      </c>
      <c r="AP472" s="552">
        <v>1</v>
      </c>
      <c r="AQ472" s="552">
        <v>1</v>
      </c>
      <c r="AR472" s="552">
        <v>1</v>
      </c>
      <c r="AS472" s="552">
        <v>1</v>
      </c>
      <c r="AT472" s="552">
        <v>1</v>
      </c>
      <c r="AU472" s="552">
        <v>1</v>
      </c>
      <c r="AV472" s="553" t="str">
        <f>IF(H472="YES","'"&amp;INDEX('Structure Groups'!$C$12:$C$14,MATCH('Load Criteria'!$B$5,'Structure Groups'!$B$12:$B$14,0),1)&amp;"'","'All'")</f>
        <v>'All'</v>
      </c>
      <c r="AW472" s="552" t="s">
        <v>562</v>
      </c>
      <c r="AX472" s="552"/>
      <c r="AY472" s="552" t="str">
        <f t="shared" si="786"/>
        <v>No</v>
      </c>
      <c r="AZ472" s="554" t="str">
        <f t="shared" si="787"/>
        <v/>
      </c>
      <c r="BA472" s="554" t="str">
        <f>IF(AZ472="","","Broken Wire (# Broken Subconductors)")</f>
        <v/>
      </c>
      <c r="BB472" s="552" t="str">
        <f t="shared" si="788"/>
        <v/>
      </c>
      <c r="BC472" s="554" t="str">
        <f t="shared" si="789"/>
        <v/>
      </c>
      <c r="BD472" s="554" t="str">
        <f>IF(BC472="","","Broken Wire (# Broken Subconductors)")</f>
        <v/>
      </c>
      <c r="BE472" s="552" t="str">
        <f t="shared" si="790"/>
        <v/>
      </c>
      <c r="BF472" s="554" t="str">
        <f t="shared" si="791"/>
        <v/>
      </c>
      <c r="BG472" s="554" t="str">
        <f>IF(BF472="","","Broken Wire (# Broken Subconductors)")</f>
        <v/>
      </c>
      <c r="BH472" s="552" t="str">
        <f t="shared" si="792"/>
        <v/>
      </c>
      <c r="BI472" s="554" t="str">
        <f t="shared" si="793"/>
        <v/>
      </c>
      <c r="BJ472" s="554" t="str">
        <f>IF(BI472="","","Broken Wire (# Broken Subconductors)")</f>
        <v/>
      </c>
      <c r="BK472" s="552" t="str">
        <f t="shared" si="794"/>
        <v/>
      </c>
      <c r="BL472" s="554" t="str">
        <f t="shared" si="795"/>
        <v/>
      </c>
      <c r="BM472" s="554" t="str">
        <f>IF(BL472="","","Broken Wire (# Broken Subconductors)")</f>
        <v/>
      </c>
      <c r="BN472" s="552" t="str">
        <f t="shared" si="796"/>
        <v/>
      </c>
      <c r="BO472" s="554" t="str">
        <f t="shared" si="797"/>
        <v/>
      </c>
      <c r="BP472" s="554" t="str">
        <f>IF(BO472="","","Broken Wire (# Broken Subconductors)")</f>
        <v/>
      </c>
      <c r="BQ472" s="552" t="str">
        <f t="shared" si="798"/>
        <v/>
      </c>
      <c r="BR472" s="554"/>
      <c r="BS472" s="554"/>
      <c r="BT472" s="554"/>
      <c r="BU472" s="554"/>
      <c r="BV472" s="554"/>
      <c r="BW472" s="554"/>
      <c r="BX472" s="554"/>
      <c r="BY472" s="554"/>
      <c r="BZ472" s="554"/>
      <c r="CA472" s="554"/>
      <c r="CB472" s="554"/>
      <c r="CC472" s="554"/>
      <c r="CD472" s="554"/>
      <c r="CE472" s="554"/>
      <c r="CF472" s="554"/>
      <c r="CG472" s="554"/>
      <c r="CH472" s="554"/>
      <c r="CI472" s="554"/>
      <c r="CJ472" s="554"/>
      <c r="CK472" s="554"/>
      <c r="CL472" s="554"/>
      <c r="CM472" s="554"/>
      <c r="CN472" s="554"/>
      <c r="CO472" s="554"/>
      <c r="CP472" s="554"/>
      <c r="CQ472" s="554"/>
      <c r="CR472" s="554"/>
      <c r="CS472" s="554"/>
      <c r="CT472" s="554"/>
      <c r="CU472" s="554"/>
      <c r="CV472" s="554"/>
      <c r="CW472" s="554"/>
      <c r="CX472" s="554"/>
      <c r="CY472" s="554"/>
      <c r="CZ472" s="554"/>
      <c r="DA472" s="554"/>
      <c r="DB472" s="554"/>
      <c r="DC472" s="554"/>
      <c r="DD472" s="554"/>
      <c r="DE472" s="534"/>
      <c r="DF472" s="534"/>
      <c r="DG472" s="534"/>
    </row>
    <row r="473" spans="1:111" ht="15" x14ac:dyDescent="0.25">
      <c r="A473" s="549">
        <f>IFERROR(IF(INDEX('Weather Cases'!$E$10:$E$94,MATCH('Load Criteria'!X473,'Weather Cases'!$H$10:$H$94,0),1)=1,1,"-"),"-")</f>
        <v>1</v>
      </c>
      <c r="B473" s="555" t="s">
        <v>558</v>
      </c>
      <c r="C473" s="556" t="str">
        <f>IF('Weather Cases'!$E$40=0,"","DC/SC")</f>
        <v>DC/SC</v>
      </c>
      <c r="D473" s="556" t="s">
        <v>591</v>
      </c>
      <c r="E473" s="556" t="s">
        <v>22</v>
      </c>
      <c r="F473" s="556" t="s">
        <v>22</v>
      </c>
      <c r="G473" s="556" t="str">
        <f>IFERROR(IF(MID('Load Criteria'!X473,FIND("_",'Load Criteria'!X473,1)+1,1)=LEFT(Control!$D$23,1),"YES","-"),"-")</f>
        <v>-</v>
      </c>
      <c r="H473" s="549" t="s">
        <v>22</v>
      </c>
      <c r="I473" s="557" t="s">
        <v>359</v>
      </c>
      <c r="J473" s="508" t="s">
        <v>300</v>
      </c>
      <c r="K473" s="508"/>
      <c r="L473" s="508"/>
      <c r="M473" s="508"/>
      <c r="N473" s="508"/>
      <c r="O473" s="508"/>
      <c r="P473" s="395"/>
      <c r="Q473" s="395"/>
      <c r="R473" s="395"/>
      <c r="S473" s="395"/>
      <c r="T473" s="395"/>
      <c r="U473" s="255" t="s">
        <v>574</v>
      </c>
      <c r="V473" s="551"/>
      <c r="W473" s="542" t="str">
        <f>X473&amp;"+"&amp;K473&amp;IF(L473="","",CONCATENATE(L473,M473,N473,O473))&amp;" "&amp;U473</f>
        <v>EDW+ NA-</v>
      </c>
      <c r="X473" s="552" t="str">
        <f>I473&amp;TEXT(J473,"0")</f>
        <v>EDW</v>
      </c>
      <c r="Y473" s="552" t="s">
        <v>433</v>
      </c>
      <c r="Z473" s="552" t="str">
        <f>U473</f>
        <v>NA-</v>
      </c>
      <c r="AA473" s="552"/>
      <c r="AB473" s="552">
        <v>1</v>
      </c>
      <c r="AC473" s="552">
        <v>1</v>
      </c>
      <c r="AD473" s="552">
        <v>1</v>
      </c>
      <c r="AE473" s="552">
        <v>1</v>
      </c>
      <c r="AF473" s="552">
        <v>1</v>
      </c>
      <c r="AG473" s="542" t="s">
        <v>561</v>
      </c>
      <c r="AH473" s="552">
        <v>0</v>
      </c>
      <c r="AI473" s="552">
        <v>0</v>
      </c>
      <c r="AJ473" s="552">
        <v>1</v>
      </c>
      <c r="AK473" s="552">
        <v>1</v>
      </c>
      <c r="AL473" s="552">
        <v>1</v>
      </c>
      <c r="AM473" s="552">
        <v>0</v>
      </c>
      <c r="AN473" s="552">
        <v>0</v>
      </c>
      <c r="AO473" s="552">
        <v>1</v>
      </c>
      <c r="AP473" s="552">
        <v>1</v>
      </c>
      <c r="AQ473" s="552">
        <v>1</v>
      </c>
      <c r="AR473" s="552">
        <v>1</v>
      </c>
      <c r="AS473" s="552">
        <v>1</v>
      </c>
      <c r="AT473" s="552">
        <v>1</v>
      </c>
      <c r="AU473" s="552">
        <v>1</v>
      </c>
      <c r="AV473" s="553" t="str">
        <f>IF(H473="YES","'"&amp;INDEX('Structure Groups'!$C$12:$C$14,MATCH('Load Criteria'!$B$5,'Structure Groups'!$B$12:$B$14,0),1)&amp;"'","'All'")</f>
        <v>'All'</v>
      </c>
      <c r="AW473" s="552" t="s">
        <v>562</v>
      </c>
      <c r="AX473" s="552"/>
      <c r="AY473" s="552" t="str">
        <f t="shared" si="786"/>
        <v>No</v>
      </c>
      <c r="AZ473" s="554" t="str">
        <f t="shared" si="787"/>
        <v/>
      </c>
      <c r="BA473" s="554" t="str">
        <f>IF(AZ473="","","Broken Wire (# Broken Subconductors)")</f>
        <v/>
      </c>
      <c r="BB473" s="552" t="str">
        <f t="shared" si="788"/>
        <v/>
      </c>
      <c r="BC473" s="554" t="str">
        <f t="shared" si="789"/>
        <v/>
      </c>
      <c r="BD473" s="554" t="str">
        <f>IF(BC473="","","Broken Wire (# Broken Subconductors)")</f>
        <v/>
      </c>
      <c r="BE473" s="552" t="str">
        <f t="shared" si="790"/>
        <v/>
      </c>
      <c r="BF473" s="554" t="str">
        <f t="shared" si="791"/>
        <v/>
      </c>
      <c r="BG473" s="554" t="str">
        <f>IF(BF473="","","Broken Wire (# Broken Subconductors)")</f>
        <v/>
      </c>
      <c r="BH473" s="552" t="str">
        <f t="shared" si="792"/>
        <v/>
      </c>
      <c r="BI473" s="554" t="str">
        <f t="shared" si="793"/>
        <v/>
      </c>
      <c r="BJ473" s="554" t="str">
        <f>IF(BI473="","","Broken Wire (# Broken Subconductors)")</f>
        <v/>
      </c>
      <c r="BK473" s="552" t="str">
        <f t="shared" si="794"/>
        <v/>
      </c>
      <c r="BL473" s="554" t="str">
        <f t="shared" si="795"/>
        <v/>
      </c>
      <c r="BM473" s="554" t="str">
        <f>IF(BL473="","","Broken Wire (# Broken Subconductors)")</f>
        <v/>
      </c>
      <c r="BN473" s="552" t="str">
        <f t="shared" si="796"/>
        <v/>
      </c>
      <c r="BO473" s="554" t="str">
        <f t="shared" si="797"/>
        <v/>
      </c>
      <c r="BP473" s="554" t="str">
        <f>IF(BO473="","","Broken Wire (# Broken Subconductors)")</f>
        <v/>
      </c>
      <c r="BQ473" s="552" t="str">
        <f t="shared" si="798"/>
        <v/>
      </c>
      <c r="BR473" s="554"/>
      <c r="BS473" s="554"/>
      <c r="BT473" s="554"/>
      <c r="BU473" s="554"/>
      <c r="BV473" s="554"/>
      <c r="BW473" s="554"/>
      <c r="BX473" s="554"/>
      <c r="BY473" s="554"/>
      <c r="BZ473" s="554"/>
      <c r="CA473" s="554"/>
      <c r="CB473" s="554"/>
      <c r="CC473" s="554"/>
      <c r="CD473" s="554"/>
      <c r="CE473" s="554"/>
      <c r="CF473" s="554"/>
      <c r="CG473" s="554"/>
      <c r="CH473" s="554"/>
      <c r="CI473" s="554"/>
      <c r="CJ473" s="554"/>
      <c r="CK473" s="554"/>
      <c r="CL473" s="554"/>
      <c r="CM473" s="554"/>
      <c r="CN473" s="554"/>
      <c r="CO473" s="554"/>
      <c r="CP473" s="554"/>
      <c r="CQ473" s="554"/>
      <c r="CR473" s="554"/>
      <c r="CS473" s="554"/>
      <c r="CT473" s="554"/>
      <c r="CU473" s="554"/>
      <c r="CV473" s="554"/>
      <c r="CW473" s="554"/>
      <c r="CX473" s="554"/>
      <c r="CY473" s="554"/>
      <c r="CZ473" s="554"/>
      <c r="DA473" s="554"/>
      <c r="DB473" s="554"/>
      <c r="DC473" s="554"/>
      <c r="DD473" s="554"/>
      <c r="DE473" s="534"/>
      <c r="DF473" s="534"/>
      <c r="DG473" s="534"/>
    </row>
    <row r="474" spans="1:111" ht="15" x14ac:dyDescent="0.25">
      <c r="A474" s="549">
        <f>IFERROR(IF(INDEX('Weather Cases'!$E$10:$E$94,MATCH('Load Criteria'!X474,'Weather Cases'!$H$10:$H$94,0),1)=1,1,"-"),"-")</f>
        <v>1</v>
      </c>
      <c r="B474" s="555" t="s">
        <v>558</v>
      </c>
      <c r="C474" s="556" t="str">
        <f>IF('Weather Cases'!$E$40=0,"","DC/SC")</f>
        <v>DC/SC</v>
      </c>
      <c r="D474" s="556" t="s">
        <v>591</v>
      </c>
      <c r="E474" s="556" t="s">
        <v>22</v>
      </c>
      <c r="F474" s="556" t="s">
        <v>22</v>
      </c>
      <c r="G474" s="556" t="str">
        <f>IFERROR(IF(MID('Load Criteria'!X474,FIND("_",'Load Criteria'!X474,1)+1,1)=LEFT(Control!$D$23,1),"YES","-"),"-")</f>
        <v>YES</v>
      </c>
      <c r="H474" s="549" t="s">
        <v>22</v>
      </c>
      <c r="I474" s="557" t="s">
        <v>376</v>
      </c>
      <c r="J474" s="508"/>
      <c r="K474" s="508"/>
      <c r="L474" s="508"/>
      <c r="M474" s="508"/>
      <c r="N474" s="508"/>
      <c r="O474" s="508"/>
      <c r="P474" s="395"/>
      <c r="Q474" s="395"/>
      <c r="R474" s="395"/>
      <c r="S474" s="395"/>
      <c r="T474" s="395"/>
      <c r="U474" s="255" t="s">
        <v>568</v>
      </c>
      <c r="V474" s="551"/>
      <c r="W474" s="542" t="str">
        <f>X474&amp;"+"&amp;K474&amp;IF(L474="","",CONCATENATE(L474,M474,N474,O474))&amp;" "&amp;U474</f>
        <v>HWD_A120+ NA+</v>
      </c>
      <c r="X474" s="552" t="str">
        <f>'Weather Cases'!H69</f>
        <v>HWD_A120</v>
      </c>
      <c r="Y474" s="552" t="s">
        <v>433</v>
      </c>
      <c r="Z474" s="552" t="str">
        <f>U474</f>
        <v>NA+</v>
      </c>
      <c r="AA474" s="552"/>
      <c r="AB474" s="552">
        <v>1</v>
      </c>
      <c r="AC474" s="552">
        <v>1</v>
      </c>
      <c r="AD474" s="552">
        <v>1</v>
      </c>
      <c r="AE474" s="552">
        <v>1</v>
      </c>
      <c r="AF474" s="552">
        <v>1</v>
      </c>
      <c r="AG474" s="542" t="s">
        <v>561</v>
      </c>
      <c r="AH474" s="552">
        <v>0</v>
      </c>
      <c r="AI474" s="552">
        <v>0</v>
      </c>
      <c r="AJ474" s="552">
        <v>1</v>
      </c>
      <c r="AK474" s="552">
        <v>1</v>
      </c>
      <c r="AL474" s="552">
        <v>1</v>
      </c>
      <c r="AM474" s="552">
        <v>0</v>
      </c>
      <c r="AN474" s="552">
        <v>0</v>
      </c>
      <c r="AO474" s="552">
        <v>1</v>
      </c>
      <c r="AP474" s="552">
        <v>1</v>
      </c>
      <c r="AQ474" s="552">
        <v>1</v>
      </c>
      <c r="AR474" s="552">
        <v>1</v>
      </c>
      <c r="AS474" s="552">
        <v>1</v>
      </c>
      <c r="AT474" s="552">
        <v>1</v>
      </c>
      <c r="AU474" s="552">
        <v>1</v>
      </c>
      <c r="AV474" s="553" t="str">
        <f>IF(H474="YES","'"&amp;INDEX('Structure Groups'!$C$12:$C$14,MATCH('Load Criteria'!$B$5,'Structure Groups'!$B$12:$B$14,0),1)&amp;"'","'All'")</f>
        <v>'All'</v>
      </c>
      <c r="AW474" s="552" t="s">
        <v>562</v>
      </c>
      <c r="AX474" s="552"/>
      <c r="AY474" s="552" t="str">
        <f t="shared" si="786"/>
        <v>No</v>
      </c>
      <c r="AZ474" s="554" t="str">
        <f t="shared" si="787"/>
        <v/>
      </c>
      <c r="BA474" s="554" t="str">
        <f>IF(AZ474="","","Broken Wire (# Broken Subconductors)")</f>
        <v/>
      </c>
      <c r="BB474" s="552" t="str">
        <f t="shared" si="788"/>
        <v/>
      </c>
      <c r="BC474" s="554" t="str">
        <f t="shared" si="789"/>
        <v/>
      </c>
      <c r="BD474" s="554" t="str">
        <f>IF(BC474="","","Broken Wire (# Broken Subconductors)")</f>
        <v/>
      </c>
      <c r="BE474" s="552" t="str">
        <f t="shared" si="790"/>
        <v/>
      </c>
      <c r="BF474" s="554" t="str">
        <f t="shared" si="791"/>
        <v/>
      </c>
      <c r="BG474" s="554" t="str">
        <f>IF(BF474="","","Broken Wire (# Broken Subconductors)")</f>
        <v/>
      </c>
      <c r="BH474" s="552" t="str">
        <f t="shared" si="792"/>
        <v/>
      </c>
      <c r="BI474" s="554" t="str">
        <f t="shared" si="793"/>
        <v/>
      </c>
      <c r="BJ474" s="554" t="str">
        <f>IF(BI474="","","Broken Wire (# Broken Subconductors)")</f>
        <v/>
      </c>
      <c r="BK474" s="552" t="str">
        <f t="shared" si="794"/>
        <v/>
      </c>
      <c r="BL474" s="554" t="str">
        <f t="shared" si="795"/>
        <v/>
      </c>
      <c r="BM474" s="554" t="str">
        <f>IF(BL474="","","Broken Wire (# Broken Subconductors)")</f>
        <v/>
      </c>
      <c r="BN474" s="552" t="str">
        <f t="shared" si="796"/>
        <v/>
      </c>
      <c r="BO474" s="554" t="str">
        <f t="shared" si="797"/>
        <v/>
      </c>
      <c r="BP474" s="554" t="str">
        <f>IF(BO474="","","Broken Wire (# Broken Subconductors)")</f>
        <v/>
      </c>
      <c r="BQ474" s="552" t="str">
        <f t="shared" si="798"/>
        <v/>
      </c>
      <c r="BR474" s="554"/>
      <c r="BS474" s="554"/>
      <c r="BT474" s="554"/>
      <c r="BU474" s="554"/>
      <c r="BV474" s="554"/>
      <c r="BW474" s="554"/>
      <c r="BX474" s="554"/>
      <c r="BY474" s="554"/>
      <c r="BZ474" s="554"/>
      <c r="CA474" s="554"/>
      <c r="CB474" s="554"/>
      <c r="CC474" s="554"/>
      <c r="CD474" s="554"/>
      <c r="CE474" s="554"/>
      <c r="CF474" s="554"/>
      <c r="CG474" s="554"/>
      <c r="CH474" s="554"/>
      <c r="CI474" s="554"/>
      <c r="CJ474" s="554"/>
      <c r="CK474" s="554"/>
      <c r="CL474" s="554"/>
      <c r="CM474" s="554"/>
      <c r="CN474" s="554"/>
      <c r="CO474" s="554"/>
      <c r="CP474" s="554"/>
      <c r="CQ474" s="554"/>
      <c r="CR474" s="554"/>
      <c r="CS474" s="554"/>
      <c r="CT474" s="554"/>
      <c r="CU474" s="554"/>
      <c r="CV474" s="554"/>
      <c r="CW474" s="554"/>
      <c r="CX474" s="554"/>
      <c r="CY474" s="554"/>
      <c r="CZ474" s="554"/>
      <c r="DA474" s="554"/>
      <c r="DB474" s="554"/>
      <c r="DC474" s="554"/>
      <c r="DD474" s="554"/>
      <c r="DE474" s="534"/>
      <c r="DF474" s="534"/>
      <c r="DG474" s="534"/>
    </row>
    <row r="475" spans="1:111" ht="15" hidden="1" x14ac:dyDescent="0.25">
      <c r="A475" s="549" t="str">
        <f>IFERROR(IF(INDEX('Weather Cases'!$E$10:$E$94,MATCH('Load Criteria'!X475,'Weather Cases'!$H$10:$H$94,0),1)=1,1,"-"),"-")</f>
        <v>-</v>
      </c>
      <c r="B475" s="555" t="s">
        <v>558</v>
      </c>
      <c r="C475" s="556" t="str">
        <f>IF('Weather Cases'!$E$40=0,"","DC/SC")</f>
        <v>DC/SC</v>
      </c>
      <c r="D475" s="556" t="s">
        <v>591</v>
      </c>
      <c r="E475" s="556" t="s">
        <v>22</v>
      </c>
      <c r="F475" s="556" t="s">
        <v>22</v>
      </c>
      <c r="G475" s="556" t="str">
        <f>IFERROR(IF(MID('Load Criteria'!X475,FIND("_",'Load Criteria'!X475,1)+1,1)=LEFT(Control!$D$23,1),"YES","-"),"-")</f>
        <v>-</v>
      </c>
      <c r="H475" s="549" t="s">
        <v>22</v>
      </c>
      <c r="I475" s="557" t="s">
        <v>376</v>
      </c>
      <c r="J475" s="508"/>
      <c r="K475" s="508"/>
      <c r="L475" s="508"/>
      <c r="M475" s="508"/>
      <c r="N475" s="508"/>
      <c r="O475" s="508"/>
      <c r="P475" s="395"/>
      <c r="Q475" s="395"/>
      <c r="R475" s="395"/>
      <c r="S475" s="395"/>
      <c r="T475" s="395"/>
      <c r="U475" s="255" t="s">
        <v>568</v>
      </c>
      <c r="V475" s="551"/>
      <c r="W475" s="542" t="str">
        <f t="shared" ref="W475:W477" si="799">X475&amp;"+"&amp;K475&amp;IF(L475="","",CONCATENATE(L475,M475,N475,O475))&amp;" "&amp;U475</f>
        <v>-+ NA+</v>
      </c>
      <c r="X475" s="552" t="str">
        <f>'Weather Cases'!H70</f>
        <v>-</v>
      </c>
      <c r="Y475" s="552" t="s">
        <v>433</v>
      </c>
      <c r="Z475" s="552" t="str">
        <f t="shared" ref="Z475:Z477" si="800">U475</f>
        <v>NA+</v>
      </c>
      <c r="AA475" s="552"/>
      <c r="AB475" s="552">
        <v>1</v>
      </c>
      <c r="AC475" s="552">
        <v>1</v>
      </c>
      <c r="AD475" s="552">
        <v>1</v>
      </c>
      <c r="AE475" s="552">
        <v>1</v>
      </c>
      <c r="AF475" s="552">
        <v>1</v>
      </c>
      <c r="AG475" s="542" t="s">
        <v>561</v>
      </c>
      <c r="AH475" s="552">
        <v>0</v>
      </c>
      <c r="AI475" s="552">
        <v>0</v>
      </c>
      <c r="AJ475" s="552">
        <v>1</v>
      </c>
      <c r="AK475" s="552">
        <v>1</v>
      </c>
      <c r="AL475" s="552">
        <v>1</v>
      </c>
      <c r="AM475" s="552">
        <v>0</v>
      </c>
      <c r="AN475" s="552">
        <v>0</v>
      </c>
      <c r="AO475" s="552">
        <v>1</v>
      </c>
      <c r="AP475" s="552">
        <v>1</v>
      </c>
      <c r="AQ475" s="552">
        <v>1</v>
      </c>
      <c r="AR475" s="552">
        <v>1</v>
      </c>
      <c r="AS475" s="552">
        <v>1</v>
      </c>
      <c r="AT475" s="552">
        <v>1</v>
      </c>
      <c r="AU475" s="552">
        <v>1</v>
      </c>
      <c r="AV475" s="553" t="str">
        <f>IF(H475="YES","'"&amp;INDEX('Structure Groups'!$C$12:$C$14,MATCH('Load Criteria'!$B$5,'Structure Groups'!$B$12:$B$14,0),1)&amp;"'","'All'")</f>
        <v>'All'</v>
      </c>
      <c r="AW475" s="552" t="s">
        <v>562</v>
      </c>
      <c r="AX475" s="552"/>
      <c r="AY475" s="552" t="str">
        <f t="shared" si="786"/>
        <v>No</v>
      </c>
      <c r="AZ475" s="554" t="str">
        <f t="shared" si="787"/>
        <v/>
      </c>
      <c r="BA475" s="554" t="str">
        <f t="shared" ref="BA475:BA477" si="801">IF(AZ475="","","Broken Wire (# Broken Subconductors)")</f>
        <v/>
      </c>
      <c r="BB475" s="552" t="str">
        <f t="shared" ref="BB475:BB477" si="802">IF(AZ475="","",4)</f>
        <v/>
      </c>
      <c r="BC475" s="554" t="str">
        <f t="shared" si="789"/>
        <v/>
      </c>
      <c r="BD475" s="554" t="str">
        <f t="shared" ref="BD475:BD477" si="803">IF(BC475="","","Broken Wire (# Broken Subconductors)")</f>
        <v/>
      </c>
      <c r="BE475" s="552" t="str">
        <f t="shared" ref="BE475:BE477" si="804">IF(BC475="","",4)</f>
        <v/>
      </c>
      <c r="BF475" s="554" t="str">
        <f t="shared" si="791"/>
        <v/>
      </c>
      <c r="BG475" s="554" t="str">
        <f t="shared" ref="BG475:BG477" si="805">IF(BF475="","","Broken Wire (# Broken Subconductors)")</f>
        <v/>
      </c>
      <c r="BH475" s="552" t="str">
        <f t="shared" ref="BH475:BH477" si="806">IF(BF475="","",4)</f>
        <v/>
      </c>
      <c r="BI475" s="554" t="str">
        <f t="shared" si="793"/>
        <v/>
      </c>
      <c r="BJ475" s="554" t="str">
        <f t="shared" ref="BJ475:BJ477" si="807">IF(BI475="","","Broken Wire (# Broken Subconductors)")</f>
        <v/>
      </c>
      <c r="BK475" s="552" t="str">
        <f t="shared" ref="BK475:BK477" si="808">IF(BI475="","",4)</f>
        <v/>
      </c>
      <c r="BL475" s="554" t="str">
        <f t="shared" si="795"/>
        <v/>
      </c>
      <c r="BM475" s="554" t="str">
        <f t="shared" ref="BM475:BM477" si="809">IF(BL475="","","Broken Wire (# Broken Subconductors)")</f>
        <v/>
      </c>
      <c r="BN475" s="552" t="str">
        <f t="shared" ref="BN475:BN477" si="810">IF(BL475="","",4)</f>
        <v/>
      </c>
      <c r="BO475" s="554" t="str">
        <f t="shared" si="797"/>
        <v/>
      </c>
      <c r="BP475" s="554" t="str">
        <f t="shared" ref="BP475:BP477" si="811">IF(BO475="","","Broken Wire (# Broken Subconductors)")</f>
        <v/>
      </c>
      <c r="BQ475" s="552" t="str">
        <f t="shared" ref="BQ475:BQ477" si="812">IF(BO475="","",4)</f>
        <v/>
      </c>
      <c r="BR475" s="554"/>
      <c r="BS475" s="554"/>
      <c r="BT475" s="554"/>
      <c r="BU475" s="554"/>
      <c r="BV475" s="554"/>
      <c r="BW475" s="554"/>
      <c r="BX475" s="554"/>
      <c r="BY475" s="554"/>
      <c r="BZ475" s="554"/>
      <c r="CA475" s="554"/>
      <c r="CB475" s="554"/>
      <c r="CC475" s="554"/>
      <c r="CD475" s="554"/>
      <c r="CE475" s="554"/>
      <c r="CF475" s="554"/>
      <c r="CG475" s="554"/>
      <c r="CH475" s="554"/>
      <c r="CI475" s="554"/>
      <c r="CJ475" s="554"/>
      <c r="CK475" s="554"/>
      <c r="CL475" s="554"/>
      <c r="CM475" s="554"/>
      <c r="CN475" s="554"/>
      <c r="CO475" s="554"/>
      <c r="CP475" s="554"/>
      <c r="CQ475" s="554"/>
      <c r="CR475" s="554"/>
      <c r="CS475" s="554"/>
      <c r="CT475" s="554"/>
      <c r="CU475" s="554"/>
      <c r="CV475" s="554"/>
      <c r="CW475" s="554"/>
      <c r="CX475" s="554"/>
      <c r="CY475" s="554"/>
      <c r="CZ475" s="554"/>
      <c r="DA475" s="554"/>
      <c r="DB475" s="554"/>
      <c r="DC475" s="554"/>
      <c r="DD475" s="554"/>
      <c r="DE475" s="534"/>
      <c r="DF475" s="534"/>
      <c r="DG475" s="534"/>
    </row>
    <row r="476" spans="1:111" ht="15" hidden="1" x14ac:dyDescent="0.25">
      <c r="A476" s="549" t="str">
        <f>IFERROR(IF(INDEX('Weather Cases'!$E$10:$E$94,MATCH('Load Criteria'!X476,'Weather Cases'!$H$10:$H$94,0),1)=1,1,"-"),"-")</f>
        <v>-</v>
      </c>
      <c r="B476" s="555" t="s">
        <v>558</v>
      </c>
      <c r="C476" s="556" t="str">
        <f>IF('Weather Cases'!$E$40=0,"","DC/SC")</f>
        <v>DC/SC</v>
      </c>
      <c r="D476" s="556" t="s">
        <v>591</v>
      </c>
      <c r="E476" s="556" t="s">
        <v>22</v>
      </c>
      <c r="F476" s="556" t="s">
        <v>22</v>
      </c>
      <c r="G476" s="556" t="str">
        <f>IFERROR(IF(MID('Load Criteria'!X476,FIND("_",'Load Criteria'!X476,1)+1,1)=LEFT(Control!$D$23,1),"YES","-"),"-")</f>
        <v>-</v>
      </c>
      <c r="H476" s="549" t="s">
        <v>22</v>
      </c>
      <c r="I476" s="557" t="s">
        <v>376</v>
      </c>
      <c r="J476" s="508"/>
      <c r="K476" s="508"/>
      <c r="L476" s="508"/>
      <c r="M476" s="508"/>
      <c r="N476" s="508"/>
      <c r="O476" s="508"/>
      <c r="P476" s="395"/>
      <c r="Q476" s="395"/>
      <c r="R476" s="395"/>
      <c r="S476" s="395"/>
      <c r="T476" s="395"/>
      <c r="U476" s="255" t="s">
        <v>568</v>
      </c>
      <c r="V476" s="551"/>
      <c r="W476" s="542" t="str">
        <f t="shared" si="799"/>
        <v>-+ NA+</v>
      </c>
      <c r="X476" s="552" t="str">
        <f>'Weather Cases'!H71</f>
        <v>-</v>
      </c>
      <c r="Y476" s="552" t="s">
        <v>433</v>
      </c>
      <c r="Z476" s="552" t="str">
        <f t="shared" si="800"/>
        <v>NA+</v>
      </c>
      <c r="AA476" s="552"/>
      <c r="AB476" s="552">
        <v>1</v>
      </c>
      <c r="AC476" s="552">
        <v>1</v>
      </c>
      <c r="AD476" s="552">
        <v>1</v>
      </c>
      <c r="AE476" s="552">
        <v>1</v>
      </c>
      <c r="AF476" s="552">
        <v>1</v>
      </c>
      <c r="AG476" s="542" t="s">
        <v>561</v>
      </c>
      <c r="AH476" s="552">
        <v>0</v>
      </c>
      <c r="AI476" s="552">
        <v>0</v>
      </c>
      <c r="AJ476" s="552">
        <v>1</v>
      </c>
      <c r="AK476" s="552">
        <v>1</v>
      </c>
      <c r="AL476" s="552">
        <v>1</v>
      </c>
      <c r="AM476" s="552">
        <v>0</v>
      </c>
      <c r="AN476" s="552">
        <v>0</v>
      </c>
      <c r="AO476" s="552">
        <v>1</v>
      </c>
      <c r="AP476" s="552">
        <v>1</v>
      </c>
      <c r="AQ476" s="552">
        <v>1</v>
      </c>
      <c r="AR476" s="552">
        <v>1</v>
      </c>
      <c r="AS476" s="552">
        <v>1</v>
      </c>
      <c r="AT476" s="552">
        <v>1</v>
      </c>
      <c r="AU476" s="552">
        <v>1</v>
      </c>
      <c r="AV476" s="553" t="str">
        <f>IF(H476="YES","'"&amp;INDEX('Structure Groups'!$C$12:$C$14,MATCH('Load Criteria'!$B$5,'Structure Groups'!$B$12:$B$14,0),1)&amp;"'","'All'")</f>
        <v>'All'</v>
      </c>
      <c r="AW476" s="552" t="s">
        <v>562</v>
      </c>
      <c r="AX476" s="552"/>
      <c r="AY476" s="552" t="str">
        <f t="shared" si="786"/>
        <v>No</v>
      </c>
      <c r="AZ476" s="554" t="str">
        <f t="shared" si="787"/>
        <v/>
      </c>
      <c r="BA476" s="554" t="str">
        <f t="shared" si="801"/>
        <v/>
      </c>
      <c r="BB476" s="552" t="str">
        <f t="shared" si="802"/>
        <v/>
      </c>
      <c r="BC476" s="554" t="str">
        <f t="shared" si="789"/>
        <v/>
      </c>
      <c r="BD476" s="554" t="str">
        <f t="shared" si="803"/>
        <v/>
      </c>
      <c r="BE476" s="552" t="str">
        <f t="shared" si="804"/>
        <v/>
      </c>
      <c r="BF476" s="554" t="str">
        <f t="shared" si="791"/>
        <v/>
      </c>
      <c r="BG476" s="554" t="str">
        <f t="shared" si="805"/>
        <v/>
      </c>
      <c r="BH476" s="552" t="str">
        <f t="shared" si="806"/>
        <v/>
      </c>
      <c r="BI476" s="554" t="str">
        <f t="shared" si="793"/>
        <v/>
      </c>
      <c r="BJ476" s="554" t="str">
        <f t="shared" si="807"/>
        <v/>
      </c>
      <c r="BK476" s="552" t="str">
        <f t="shared" si="808"/>
        <v/>
      </c>
      <c r="BL476" s="554" t="str">
        <f t="shared" si="795"/>
        <v/>
      </c>
      <c r="BM476" s="554" t="str">
        <f t="shared" si="809"/>
        <v/>
      </c>
      <c r="BN476" s="552" t="str">
        <f t="shared" si="810"/>
        <v/>
      </c>
      <c r="BO476" s="554" t="str">
        <f t="shared" si="797"/>
        <v/>
      </c>
      <c r="BP476" s="554" t="str">
        <f t="shared" si="811"/>
        <v/>
      </c>
      <c r="BQ476" s="552" t="str">
        <f t="shared" si="812"/>
        <v/>
      </c>
      <c r="BR476" s="554"/>
      <c r="BS476" s="554"/>
      <c r="BT476" s="554"/>
      <c r="BU476" s="554"/>
      <c r="BV476" s="554"/>
      <c r="BW476" s="554"/>
      <c r="BX476" s="554"/>
      <c r="BY476" s="554"/>
      <c r="BZ476" s="554"/>
      <c r="CA476" s="554"/>
      <c r="CB476" s="554"/>
      <c r="CC476" s="554"/>
      <c r="CD476" s="554"/>
      <c r="CE476" s="554"/>
      <c r="CF476" s="554"/>
      <c r="CG476" s="554"/>
      <c r="CH476" s="554"/>
      <c r="CI476" s="554"/>
      <c r="CJ476" s="554"/>
      <c r="CK476" s="554"/>
      <c r="CL476" s="554"/>
      <c r="CM476" s="554"/>
      <c r="CN476" s="554"/>
      <c r="CO476" s="554"/>
      <c r="CP476" s="554"/>
      <c r="CQ476" s="554"/>
      <c r="CR476" s="554"/>
      <c r="CS476" s="554"/>
      <c r="CT476" s="554"/>
      <c r="CU476" s="554"/>
      <c r="CV476" s="554"/>
      <c r="CW476" s="554"/>
      <c r="CX476" s="554"/>
      <c r="CY476" s="554"/>
      <c r="CZ476" s="554"/>
      <c r="DA476" s="554"/>
      <c r="DB476" s="554"/>
      <c r="DC476" s="554"/>
      <c r="DD476" s="554"/>
      <c r="DE476" s="534"/>
      <c r="DF476" s="534"/>
      <c r="DG476" s="534"/>
    </row>
    <row r="477" spans="1:111" ht="15" hidden="1" x14ac:dyDescent="0.25">
      <c r="A477" s="549" t="str">
        <f>IFERROR(IF(INDEX('Weather Cases'!$E$10:$E$94,MATCH('Load Criteria'!X477,'Weather Cases'!$H$10:$H$94,0),1)=1,1,"-"),"-")</f>
        <v>-</v>
      </c>
      <c r="B477" s="555" t="s">
        <v>558</v>
      </c>
      <c r="C477" s="556" t="str">
        <f>IF('Weather Cases'!$E$40=0,"","DC/SC")</f>
        <v>DC/SC</v>
      </c>
      <c r="D477" s="556" t="s">
        <v>591</v>
      </c>
      <c r="E477" s="556" t="s">
        <v>22</v>
      </c>
      <c r="F477" s="556" t="s">
        <v>22</v>
      </c>
      <c r="G477" s="556" t="str">
        <f>IFERROR(IF(MID('Load Criteria'!X477,FIND("_",'Load Criteria'!X477,1)+1,1)=LEFT(Control!$D$23,1),"YES","-"),"-")</f>
        <v>-</v>
      </c>
      <c r="H477" s="549" t="s">
        <v>22</v>
      </c>
      <c r="I477" s="557" t="s">
        <v>376</v>
      </c>
      <c r="J477" s="508"/>
      <c r="K477" s="508"/>
      <c r="L477" s="508"/>
      <c r="M477" s="508"/>
      <c r="N477" s="508"/>
      <c r="O477" s="508"/>
      <c r="P477" s="395"/>
      <c r="Q477" s="395"/>
      <c r="R477" s="395"/>
      <c r="S477" s="395"/>
      <c r="T477" s="395"/>
      <c r="U477" s="255" t="s">
        <v>568</v>
      </c>
      <c r="V477" s="551"/>
      <c r="W477" s="542" t="str">
        <f t="shared" si="799"/>
        <v>-+ NA+</v>
      </c>
      <c r="X477" s="552" t="str">
        <f>'Weather Cases'!H72</f>
        <v>-</v>
      </c>
      <c r="Y477" s="552" t="s">
        <v>433</v>
      </c>
      <c r="Z477" s="552" t="str">
        <f t="shared" si="800"/>
        <v>NA+</v>
      </c>
      <c r="AA477" s="552"/>
      <c r="AB477" s="552">
        <v>1</v>
      </c>
      <c r="AC477" s="552">
        <v>1</v>
      </c>
      <c r="AD477" s="552">
        <v>1</v>
      </c>
      <c r="AE477" s="552">
        <v>1</v>
      </c>
      <c r="AF477" s="552">
        <v>1</v>
      </c>
      <c r="AG477" s="542" t="s">
        <v>561</v>
      </c>
      <c r="AH477" s="552">
        <v>0</v>
      </c>
      <c r="AI477" s="552">
        <v>0</v>
      </c>
      <c r="AJ477" s="552">
        <v>1</v>
      </c>
      <c r="AK477" s="552">
        <v>1</v>
      </c>
      <c r="AL477" s="552">
        <v>1</v>
      </c>
      <c r="AM477" s="552">
        <v>0</v>
      </c>
      <c r="AN477" s="552">
        <v>0</v>
      </c>
      <c r="AO477" s="552">
        <v>1</v>
      </c>
      <c r="AP477" s="552">
        <v>1</v>
      </c>
      <c r="AQ477" s="552">
        <v>1</v>
      </c>
      <c r="AR477" s="552">
        <v>1</v>
      </c>
      <c r="AS477" s="552">
        <v>1</v>
      </c>
      <c r="AT477" s="552">
        <v>1</v>
      </c>
      <c r="AU477" s="552"/>
      <c r="AV477" s="553" t="str">
        <f>IF(H477="YES","'"&amp;INDEX('Structure Groups'!$C$12:$C$14,MATCH('Load Criteria'!$B$5,'Structure Groups'!$B$12:$B$14,0),1)&amp;"'","'All'")</f>
        <v>'All'</v>
      </c>
      <c r="AW477" s="552" t="s">
        <v>562</v>
      </c>
      <c r="AX477" s="552"/>
      <c r="AY477" s="552" t="str">
        <f t="shared" si="786"/>
        <v>No</v>
      </c>
      <c r="AZ477" s="554" t="str">
        <f t="shared" si="787"/>
        <v/>
      </c>
      <c r="BA477" s="554" t="str">
        <f t="shared" si="801"/>
        <v/>
      </c>
      <c r="BB477" s="552" t="str">
        <f t="shared" si="802"/>
        <v/>
      </c>
      <c r="BC477" s="554" t="str">
        <f t="shared" si="789"/>
        <v/>
      </c>
      <c r="BD477" s="554" t="str">
        <f t="shared" si="803"/>
        <v/>
      </c>
      <c r="BE477" s="552" t="str">
        <f t="shared" si="804"/>
        <v/>
      </c>
      <c r="BF477" s="554" t="str">
        <f t="shared" si="791"/>
        <v/>
      </c>
      <c r="BG477" s="554" t="str">
        <f t="shared" si="805"/>
        <v/>
      </c>
      <c r="BH477" s="552" t="str">
        <f t="shared" si="806"/>
        <v/>
      </c>
      <c r="BI477" s="554" t="str">
        <f t="shared" si="793"/>
        <v/>
      </c>
      <c r="BJ477" s="554" t="str">
        <f t="shared" si="807"/>
        <v/>
      </c>
      <c r="BK477" s="552" t="str">
        <f t="shared" si="808"/>
        <v/>
      </c>
      <c r="BL477" s="554" t="str">
        <f t="shared" si="795"/>
        <v/>
      </c>
      <c r="BM477" s="554" t="str">
        <f t="shared" si="809"/>
        <v/>
      </c>
      <c r="BN477" s="552" t="str">
        <f t="shared" si="810"/>
        <v/>
      </c>
      <c r="BO477" s="554" t="str">
        <f t="shared" si="797"/>
        <v/>
      </c>
      <c r="BP477" s="554" t="str">
        <f t="shared" si="811"/>
        <v/>
      </c>
      <c r="BQ477" s="552" t="str">
        <f t="shared" si="812"/>
        <v/>
      </c>
      <c r="BR477" s="554"/>
      <c r="BS477" s="554"/>
      <c r="BT477" s="554"/>
      <c r="BU477" s="554"/>
      <c r="BV477" s="554"/>
      <c r="BW477" s="554"/>
      <c r="BX477" s="554"/>
      <c r="BY477" s="554"/>
      <c r="BZ477" s="554"/>
      <c r="CA477" s="554"/>
      <c r="CB477" s="554"/>
      <c r="CC477" s="554"/>
      <c r="CD477" s="554"/>
      <c r="CE477" s="554"/>
      <c r="CF477" s="554"/>
      <c r="CG477" s="554"/>
      <c r="CH477" s="554"/>
      <c r="CI477" s="554"/>
      <c r="CJ477" s="554"/>
      <c r="CK477" s="554"/>
      <c r="CL477" s="554"/>
      <c r="CM477" s="554"/>
      <c r="CN477" s="554"/>
      <c r="CO477" s="554"/>
      <c r="CP477" s="554"/>
      <c r="CQ477" s="554"/>
      <c r="CR477" s="554"/>
      <c r="CS477" s="554"/>
      <c r="CT477" s="554"/>
      <c r="CU477" s="554"/>
      <c r="CV477" s="554"/>
      <c r="CW477" s="554"/>
      <c r="CX477" s="554"/>
      <c r="CY477" s="554"/>
      <c r="CZ477" s="554"/>
      <c r="DA477" s="554"/>
      <c r="DB477" s="554"/>
      <c r="DC477" s="554"/>
      <c r="DD477" s="554"/>
      <c r="DE477" s="534"/>
      <c r="DF477" s="534"/>
      <c r="DG477" s="534"/>
    </row>
    <row r="478" spans="1:111" ht="15" x14ac:dyDescent="0.25">
      <c r="A478" s="549">
        <f>IFERROR(IF(INDEX('Weather Cases'!$E$10:$E$94,MATCH('Load Criteria'!X478,'Weather Cases'!$H$10:$H$94,0),1)=1,1,"-"),"-")</f>
        <v>1</v>
      </c>
      <c r="B478" s="555" t="s">
        <v>558</v>
      </c>
      <c r="C478" s="556" t="str">
        <f>IF('Weather Cases'!$E$40=0,"","DC/SC")</f>
        <v>DC/SC</v>
      </c>
      <c r="D478" s="556" t="s">
        <v>591</v>
      </c>
      <c r="E478" s="556" t="s">
        <v>22</v>
      </c>
      <c r="F478" s="556" t="s">
        <v>22</v>
      </c>
      <c r="G478" s="556" t="str">
        <f>IFERROR(IF(MID('Load Criteria'!X478,FIND("_",'Load Criteria'!X478,1)+1,1)=LEFT(Control!$D$23,1),"YES","-"),"-")</f>
        <v>YES</v>
      </c>
      <c r="H478" s="549" t="s">
        <v>22</v>
      </c>
      <c r="I478" s="557" t="s">
        <v>376</v>
      </c>
      <c r="J478" s="508" t="s">
        <v>300</v>
      </c>
      <c r="K478" s="508"/>
      <c r="L478" s="508"/>
      <c r="M478" s="508"/>
      <c r="N478" s="508"/>
      <c r="O478" s="508"/>
      <c r="P478" s="395"/>
      <c r="Q478" s="395"/>
      <c r="R478" s="395"/>
      <c r="S478" s="395"/>
      <c r="T478" s="395"/>
      <c r="U478" s="255" t="s">
        <v>574</v>
      </c>
      <c r="V478" s="551"/>
      <c r="W478" s="542" t="str">
        <f>X478&amp;"+"&amp;K478&amp;IF(L478="","",CONCATENATE(L478,M478,N478,O478))&amp;" "&amp;U478</f>
        <v>HWD_A120+ NA-</v>
      </c>
      <c r="X478" s="552" t="str">
        <f>X474</f>
        <v>HWD_A120</v>
      </c>
      <c r="Y478" s="552" t="s">
        <v>433</v>
      </c>
      <c r="Z478" s="552" t="str">
        <f>U478</f>
        <v>NA-</v>
      </c>
      <c r="AA478" s="552"/>
      <c r="AB478" s="552">
        <v>1</v>
      </c>
      <c r="AC478" s="552">
        <v>1</v>
      </c>
      <c r="AD478" s="552">
        <v>1</v>
      </c>
      <c r="AE478" s="552">
        <v>1</v>
      </c>
      <c r="AF478" s="552">
        <v>1</v>
      </c>
      <c r="AG478" s="542" t="s">
        <v>561</v>
      </c>
      <c r="AH478" s="552">
        <v>0</v>
      </c>
      <c r="AI478" s="552">
        <v>0</v>
      </c>
      <c r="AJ478" s="552">
        <v>1</v>
      </c>
      <c r="AK478" s="552">
        <v>1</v>
      </c>
      <c r="AL478" s="552">
        <v>1</v>
      </c>
      <c r="AM478" s="552">
        <v>0</v>
      </c>
      <c r="AN478" s="552">
        <v>0</v>
      </c>
      <c r="AO478" s="552">
        <v>1</v>
      </c>
      <c r="AP478" s="552">
        <v>1</v>
      </c>
      <c r="AQ478" s="552">
        <v>1</v>
      </c>
      <c r="AR478" s="552">
        <v>1</v>
      </c>
      <c r="AS478" s="552">
        <v>1</v>
      </c>
      <c r="AT478" s="552">
        <v>1</v>
      </c>
      <c r="AU478" s="552">
        <v>1</v>
      </c>
      <c r="AV478" s="553" t="str">
        <f>IF(H478="YES","'"&amp;INDEX('Structure Groups'!$C$12:$C$14,MATCH('Load Criteria'!$B$5,'Structure Groups'!$B$12:$B$14,0),1)&amp;"'","'All'")</f>
        <v>'All'</v>
      </c>
      <c r="AW478" s="552" t="s">
        <v>562</v>
      </c>
      <c r="AX478" s="552"/>
      <c r="AY478" s="552" t="str">
        <f t="shared" si="786"/>
        <v>No</v>
      </c>
      <c r="AZ478" s="554" t="str">
        <f t="shared" si="787"/>
        <v/>
      </c>
      <c r="BA478" s="554" t="str">
        <f>IF(AZ478="","","Broken Wire (# Broken Subconductors)")</f>
        <v/>
      </c>
      <c r="BB478" s="552" t="str">
        <f t="shared" si="788"/>
        <v/>
      </c>
      <c r="BC478" s="554" t="str">
        <f t="shared" si="789"/>
        <v/>
      </c>
      <c r="BD478" s="554" t="str">
        <f>IF(BC478="","","Broken Wire (# Broken Subconductors)")</f>
        <v/>
      </c>
      <c r="BE478" s="552" t="str">
        <f t="shared" si="790"/>
        <v/>
      </c>
      <c r="BF478" s="554" t="str">
        <f t="shared" si="791"/>
        <v/>
      </c>
      <c r="BG478" s="554" t="str">
        <f>IF(BF478="","","Broken Wire (# Broken Subconductors)")</f>
        <v/>
      </c>
      <c r="BH478" s="552" t="str">
        <f t="shared" si="792"/>
        <v/>
      </c>
      <c r="BI478" s="554" t="str">
        <f t="shared" si="793"/>
        <v/>
      </c>
      <c r="BJ478" s="554" t="str">
        <f>IF(BI478="","","Broken Wire (# Broken Subconductors)")</f>
        <v/>
      </c>
      <c r="BK478" s="552" t="str">
        <f t="shared" si="794"/>
        <v/>
      </c>
      <c r="BL478" s="554" t="str">
        <f t="shared" si="795"/>
        <v/>
      </c>
      <c r="BM478" s="554" t="str">
        <f>IF(BL478="","","Broken Wire (# Broken Subconductors)")</f>
        <v/>
      </c>
      <c r="BN478" s="552" t="str">
        <f t="shared" si="796"/>
        <v/>
      </c>
      <c r="BO478" s="554" t="str">
        <f t="shared" si="797"/>
        <v/>
      </c>
      <c r="BP478" s="554" t="str">
        <f>IF(BO478="","","Broken Wire (# Broken Subconductors)")</f>
        <v/>
      </c>
      <c r="BQ478" s="552" t="str">
        <f t="shared" si="798"/>
        <v/>
      </c>
      <c r="BR478" s="554"/>
      <c r="BS478" s="554"/>
      <c r="BT478" s="554"/>
      <c r="BU478" s="554"/>
      <c r="BV478" s="554"/>
      <c r="BW478" s="554"/>
      <c r="BX478" s="554"/>
      <c r="BY478" s="554"/>
      <c r="BZ478" s="554"/>
      <c r="CA478" s="554"/>
      <c r="CB478" s="554"/>
      <c r="CC478" s="554"/>
      <c r="CD478" s="554"/>
      <c r="CE478" s="554"/>
      <c r="CF478" s="554"/>
      <c r="CG478" s="554"/>
      <c r="CH478" s="554"/>
      <c r="CI478" s="554"/>
      <c r="CJ478" s="554"/>
      <c r="CK478" s="554"/>
      <c r="CL478" s="554"/>
      <c r="CM478" s="554"/>
      <c r="CN478" s="554"/>
      <c r="CO478" s="554"/>
      <c r="CP478" s="554"/>
      <c r="CQ478" s="554"/>
      <c r="CR478" s="554"/>
      <c r="CS478" s="554"/>
      <c r="CT478" s="554"/>
      <c r="CU478" s="554"/>
      <c r="CV478" s="554"/>
      <c r="CW478" s="554"/>
      <c r="CX478" s="554"/>
      <c r="CY478" s="554"/>
      <c r="CZ478" s="554"/>
      <c r="DA478" s="554"/>
      <c r="DB478" s="554"/>
      <c r="DC478" s="554"/>
      <c r="DD478" s="554"/>
      <c r="DE478" s="534"/>
      <c r="DF478" s="534"/>
      <c r="DG478" s="534"/>
    </row>
    <row r="479" spans="1:111" ht="15" hidden="1" x14ac:dyDescent="0.25">
      <c r="A479" s="549" t="str">
        <f>IFERROR(IF(INDEX('Weather Cases'!$E$10:$E$94,MATCH('Load Criteria'!X479,'Weather Cases'!$H$10:$H$94,0),1)=1,1,"-"),"-")</f>
        <v>-</v>
      </c>
      <c r="B479" s="555" t="s">
        <v>558</v>
      </c>
      <c r="C479" s="556" t="str">
        <f>IF('Weather Cases'!$E$40=0,"","DC/SC")</f>
        <v>DC/SC</v>
      </c>
      <c r="D479" s="556" t="s">
        <v>591</v>
      </c>
      <c r="E479" s="556" t="s">
        <v>22</v>
      </c>
      <c r="F479" s="556" t="s">
        <v>22</v>
      </c>
      <c r="G479" s="556" t="str">
        <f>IFERROR(IF(MID('Load Criteria'!X479,FIND("_",'Load Criteria'!X479,1)+1,1)=LEFT(Control!$D$23,1),"YES","-"),"-")</f>
        <v>-</v>
      </c>
      <c r="H479" s="549" t="s">
        <v>22</v>
      </c>
      <c r="I479" s="557" t="s">
        <v>376</v>
      </c>
      <c r="J479" s="508" t="s">
        <v>300</v>
      </c>
      <c r="K479" s="508"/>
      <c r="L479" s="508"/>
      <c r="M479" s="508"/>
      <c r="N479" s="508"/>
      <c r="O479" s="508"/>
      <c r="P479" s="395"/>
      <c r="Q479" s="395"/>
      <c r="R479" s="395"/>
      <c r="S479" s="395"/>
      <c r="T479" s="395"/>
      <c r="U479" s="255" t="s">
        <v>574</v>
      </c>
      <c r="V479" s="551"/>
      <c r="W479" s="542" t="str">
        <f t="shared" ref="W479:W481" si="813">X479&amp;"+"&amp;K479&amp;IF(L479="","",CONCATENATE(L479,M479,N479,O479))&amp;" "&amp;U479</f>
        <v>-+ NA-</v>
      </c>
      <c r="X479" s="552" t="str">
        <f t="shared" ref="X479:X481" si="814">X475</f>
        <v>-</v>
      </c>
      <c r="Y479" s="552" t="s">
        <v>433</v>
      </c>
      <c r="Z479" s="552" t="str">
        <f t="shared" ref="Z479:Z481" si="815">U479</f>
        <v>NA-</v>
      </c>
      <c r="AA479" s="552"/>
      <c r="AB479" s="552">
        <v>1</v>
      </c>
      <c r="AC479" s="552">
        <v>1</v>
      </c>
      <c r="AD479" s="552">
        <v>1</v>
      </c>
      <c r="AE479" s="552">
        <v>1</v>
      </c>
      <c r="AF479" s="552">
        <v>1</v>
      </c>
      <c r="AG479" s="542" t="s">
        <v>561</v>
      </c>
      <c r="AH479" s="552">
        <v>0</v>
      </c>
      <c r="AI479" s="552">
        <v>0</v>
      </c>
      <c r="AJ479" s="552">
        <v>1</v>
      </c>
      <c r="AK479" s="552">
        <v>1</v>
      </c>
      <c r="AL479" s="552">
        <v>1</v>
      </c>
      <c r="AM479" s="552">
        <v>0</v>
      </c>
      <c r="AN479" s="552">
        <v>0</v>
      </c>
      <c r="AO479" s="552">
        <v>1</v>
      </c>
      <c r="AP479" s="552">
        <v>1</v>
      </c>
      <c r="AQ479" s="552">
        <v>1</v>
      </c>
      <c r="AR479" s="552">
        <v>1</v>
      </c>
      <c r="AS479" s="552">
        <v>1</v>
      </c>
      <c r="AT479" s="552">
        <v>1</v>
      </c>
      <c r="AU479" s="552">
        <v>1</v>
      </c>
      <c r="AV479" s="553" t="str">
        <f>IF(H479="YES","'"&amp;INDEX('Structure Groups'!$C$12:$C$14,MATCH('Load Criteria'!$B$5,'Structure Groups'!$B$12:$B$14,0),1)&amp;"'","'All'")</f>
        <v>'All'</v>
      </c>
      <c r="AW479" s="552" t="s">
        <v>562</v>
      </c>
      <c r="AX479" s="552"/>
      <c r="AY479" s="552" t="str">
        <f t="shared" si="786"/>
        <v>No</v>
      </c>
      <c r="AZ479" s="554" t="str">
        <f t="shared" si="787"/>
        <v/>
      </c>
      <c r="BA479" s="554" t="str">
        <f t="shared" ref="BA479:BA481" si="816">IF(AZ479="","","Broken Wire (# Broken Subconductors)")</f>
        <v/>
      </c>
      <c r="BB479" s="552" t="str">
        <f t="shared" ref="BB479:BB481" si="817">IF(AZ479="","",4)</f>
        <v/>
      </c>
      <c r="BC479" s="554" t="str">
        <f t="shared" si="789"/>
        <v/>
      </c>
      <c r="BD479" s="554" t="str">
        <f t="shared" ref="BD479:BD481" si="818">IF(BC479="","","Broken Wire (# Broken Subconductors)")</f>
        <v/>
      </c>
      <c r="BE479" s="552" t="str">
        <f t="shared" ref="BE479:BE481" si="819">IF(BC479="","",4)</f>
        <v/>
      </c>
      <c r="BF479" s="554" t="str">
        <f t="shared" si="791"/>
        <v/>
      </c>
      <c r="BG479" s="554" t="str">
        <f t="shared" ref="BG479:BG481" si="820">IF(BF479="","","Broken Wire (# Broken Subconductors)")</f>
        <v/>
      </c>
      <c r="BH479" s="552" t="str">
        <f t="shared" ref="BH479:BH481" si="821">IF(BF479="","",4)</f>
        <v/>
      </c>
      <c r="BI479" s="554" t="str">
        <f t="shared" si="793"/>
        <v/>
      </c>
      <c r="BJ479" s="554" t="str">
        <f t="shared" ref="BJ479:BJ481" si="822">IF(BI479="","","Broken Wire (# Broken Subconductors)")</f>
        <v/>
      </c>
      <c r="BK479" s="552" t="str">
        <f t="shared" ref="BK479:BK481" si="823">IF(BI479="","",4)</f>
        <v/>
      </c>
      <c r="BL479" s="554" t="str">
        <f t="shared" si="795"/>
        <v/>
      </c>
      <c r="BM479" s="554" t="str">
        <f t="shared" ref="BM479:BM481" si="824">IF(BL479="","","Broken Wire (# Broken Subconductors)")</f>
        <v/>
      </c>
      <c r="BN479" s="552" t="str">
        <f t="shared" ref="BN479:BN481" si="825">IF(BL479="","",4)</f>
        <v/>
      </c>
      <c r="BO479" s="554" t="str">
        <f t="shared" si="797"/>
        <v/>
      </c>
      <c r="BP479" s="554" t="str">
        <f t="shared" ref="BP479:BP481" si="826">IF(BO479="","","Broken Wire (# Broken Subconductors)")</f>
        <v/>
      </c>
      <c r="BQ479" s="552" t="str">
        <f t="shared" ref="BQ479:BQ481" si="827">IF(BO479="","",4)</f>
        <v/>
      </c>
      <c r="BR479" s="554"/>
      <c r="BS479" s="554"/>
      <c r="BT479" s="554"/>
      <c r="BU479" s="554"/>
      <c r="BV479" s="554"/>
      <c r="BW479" s="554"/>
      <c r="BX479" s="554"/>
      <c r="BY479" s="554"/>
      <c r="BZ479" s="554"/>
      <c r="CA479" s="554"/>
      <c r="CB479" s="554"/>
      <c r="CC479" s="554"/>
      <c r="CD479" s="554"/>
      <c r="CE479" s="554"/>
      <c r="CF479" s="554"/>
      <c r="CG479" s="554"/>
      <c r="CH479" s="554"/>
      <c r="CI479" s="554"/>
      <c r="CJ479" s="554"/>
      <c r="CK479" s="554"/>
      <c r="CL479" s="554"/>
      <c r="CM479" s="554"/>
      <c r="CN479" s="554"/>
      <c r="CO479" s="554"/>
      <c r="CP479" s="554"/>
      <c r="CQ479" s="554"/>
      <c r="CR479" s="554"/>
      <c r="CS479" s="554"/>
      <c r="CT479" s="554"/>
      <c r="CU479" s="554"/>
      <c r="CV479" s="554"/>
      <c r="CW479" s="554"/>
      <c r="CX479" s="554"/>
      <c r="CY479" s="554"/>
      <c r="CZ479" s="554"/>
      <c r="DA479" s="554"/>
      <c r="DB479" s="554"/>
      <c r="DC479" s="554"/>
      <c r="DD479" s="554"/>
      <c r="DE479" s="534"/>
      <c r="DF479" s="534"/>
      <c r="DG479" s="534"/>
    </row>
    <row r="480" spans="1:111" ht="15" hidden="1" x14ac:dyDescent="0.25">
      <c r="A480" s="549" t="str">
        <f>IFERROR(IF(INDEX('Weather Cases'!$E$10:$E$94,MATCH('Load Criteria'!X480,'Weather Cases'!$H$10:$H$94,0),1)=1,1,"-"),"-")</f>
        <v>-</v>
      </c>
      <c r="B480" s="555" t="s">
        <v>558</v>
      </c>
      <c r="C480" s="556" t="str">
        <f>IF('Weather Cases'!$E$40=0,"","DC/SC")</f>
        <v>DC/SC</v>
      </c>
      <c r="D480" s="556" t="s">
        <v>591</v>
      </c>
      <c r="E480" s="556" t="s">
        <v>22</v>
      </c>
      <c r="F480" s="556" t="s">
        <v>22</v>
      </c>
      <c r="G480" s="556" t="str">
        <f>IFERROR(IF(MID('Load Criteria'!X480,FIND("_",'Load Criteria'!X480,1)+1,1)=LEFT(Control!$D$23,1),"YES","-"),"-")</f>
        <v>-</v>
      </c>
      <c r="H480" s="549" t="s">
        <v>22</v>
      </c>
      <c r="I480" s="557" t="s">
        <v>376</v>
      </c>
      <c r="J480" s="508" t="s">
        <v>300</v>
      </c>
      <c r="K480" s="508"/>
      <c r="L480" s="508"/>
      <c r="M480" s="508"/>
      <c r="N480" s="508"/>
      <c r="O480" s="508"/>
      <c r="P480" s="395"/>
      <c r="Q480" s="395"/>
      <c r="R480" s="395"/>
      <c r="S480" s="395"/>
      <c r="T480" s="395"/>
      <c r="U480" s="255" t="s">
        <v>574</v>
      </c>
      <c r="V480" s="551"/>
      <c r="W480" s="542" t="str">
        <f t="shared" si="813"/>
        <v>-+ NA-</v>
      </c>
      <c r="X480" s="552" t="str">
        <f t="shared" si="814"/>
        <v>-</v>
      </c>
      <c r="Y480" s="552" t="s">
        <v>433</v>
      </c>
      <c r="Z480" s="552" t="str">
        <f t="shared" si="815"/>
        <v>NA-</v>
      </c>
      <c r="AA480" s="552"/>
      <c r="AB480" s="552">
        <v>1</v>
      </c>
      <c r="AC480" s="552">
        <v>1</v>
      </c>
      <c r="AD480" s="552">
        <v>1</v>
      </c>
      <c r="AE480" s="552">
        <v>1</v>
      </c>
      <c r="AF480" s="552">
        <v>1</v>
      </c>
      <c r="AG480" s="542" t="s">
        <v>561</v>
      </c>
      <c r="AH480" s="552">
        <v>0</v>
      </c>
      <c r="AI480" s="552">
        <v>0</v>
      </c>
      <c r="AJ480" s="552">
        <v>1</v>
      </c>
      <c r="AK480" s="552">
        <v>1</v>
      </c>
      <c r="AL480" s="552">
        <v>1</v>
      </c>
      <c r="AM480" s="552">
        <v>0</v>
      </c>
      <c r="AN480" s="552">
        <v>0</v>
      </c>
      <c r="AO480" s="552">
        <v>1</v>
      </c>
      <c r="AP480" s="552">
        <v>1</v>
      </c>
      <c r="AQ480" s="552">
        <v>1</v>
      </c>
      <c r="AR480" s="552">
        <v>1</v>
      </c>
      <c r="AS480" s="552">
        <v>1</v>
      </c>
      <c r="AT480" s="552">
        <v>1</v>
      </c>
      <c r="AU480" s="552">
        <v>1</v>
      </c>
      <c r="AV480" s="553" t="str">
        <f>IF(H480="YES","'"&amp;INDEX('Structure Groups'!$C$12:$C$14,MATCH('Load Criteria'!$B$5,'Structure Groups'!$B$12:$B$14,0),1)&amp;"'","'All'")</f>
        <v>'All'</v>
      </c>
      <c r="AW480" s="552" t="s">
        <v>562</v>
      </c>
      <c r="AX480" s="552"/>
      <c r="AY480" s="552" t="str">
        <f t="shared" si="786"/>
        <v>No</v>
      </c>
      <c r="AZ480" s="554" t="str">
        <f t="shared" si="787"/>
        <v/>
      </c>
      <c r="BA480" s="554" t="str">
        <f t="shared" si="816"/>
        <v/>
      </c>
      <c r="BB480" s="552" t="str">
        <f t="shared" si="817"/>
        <v/>
      </c>
      <c r="BC480" s="554" t="str">
        <f t="shared" si="789"/>
        <v/>
      </c>
      <c r="BD480" s="554" t="str">
        <f t="shared" si="818"/>
        <v/>
      </c>
      <c r="BE480" s="552" t="str">
        <f t="shared" si="819"/>
        <v/>
      </c>
      <c r="BF480" s="554" t="str">
        <f t="shared" si="791"/>
        <v/>
      </c>
      <c r="BG480" s="554" t="str">
        <f t="shared" si="820"/>
        <v/>
      </c>
      <c r="BH480" s="552" t="str">
        <f t="shared" si="821"/>
        <v/>
      </c>
      <c r="BI480" s="554" t="str">
        <f t="shared" si="793"/>
        <v/>
      </c>
      <c r="BJ480" s="554" t="str">
        <f t="shared" si="822"/>
        <v/>
      </c>
      <c r="BK480" s="552" t="str">
        <f t="shared" si="823"/>
        <v/>
      </c>
      <c r="BL480" s="554" t="str">
        <f t="shared" si="795"/>
        <v/>
      </c>
      <c r="BM480" s="554" t="str">
        <f t="shared" si="824"/>
        <v/>
      </c>
      <c r="BN480" s="552" t="str">
        <f t="shared" si="825"/>
        <v/>
      </c>
      <c r="BO480" s="554" t="str">
        <f t="shared" si="797"/>
        <v/>
      </c>
      <c r="BP480" s="554" t="str">
        <f t="shared" si="826"/>
        <v/>
      </c>
      <c r="BQ480" s="552" t="str">
        <f t="shared" si="827"/>
        <v/>
      </c>
      <c r="BR480" s="554"/>
      <c r="BS480" s="554"/>
      <c r="BT480" s="554"/>
      <c r="BU480" s="554"/>
      <c r="BV480" s="554"/>
      <c r="BW480" s="554"/>
      <c r="BX480" s="554"/>
      <c r="BY480" s="554"/>
      <c r="BZ480" s="554"/>
      <c r="CA480" s="554"/>
      <c r="CB480" s="554"/>
      <c r="CC480" s="554"/>
      <c r="CD480" s="554"/>
      <c r="CE480" s="554"/>
      <c r="CF480" s="554"/>
      <c r="CG480" s="554"/>
      <c r="CH480" s="554"/>
      <c r="CI480" s="554"/>
      <c r="CJ480" s="554"/>
      <c r="CK480" s="554"/>
      <c r="CL480" s="554"/>
      <c r="CM480" s="554"/>
      <c r="CN480" s="554"/>
      <c r="CO480" s="554"/>
      <c r="CP480" s="554"/>
      <c r="CQ480" s="554"/>
      <c r="CR480" s="554"/>
      <c r="CS480" s="554"/>
      <c r="CT480" s="554"/>
      <c r="CU480" s="554"/>
      <c r="CV480" s="554"/>
      <c r="CW480" s="554"/>
      <c r="CX480" s="554"/>
      <c r="CY480" s="554"/>
      <c r="CZ480" s="554"/>
      <c r="DA480" s="554"/>
      <c r="DB480" s="554"/>
      <c r="DC480" s="554"/>
      <c r="DD480" s="554"/>
      <c r="DE480" s="534"/>
      <c r="DF480" s="534"/>
      <c r="DG480" s="534"/>
    </row>
    <row r="481" spans="1:111" ht="15" hidden="1" x14ac:dyDescent="0.25">
      <c r="A481" s="549" t="str">
        <f>IFERROR(IF(INDEX('Weather Cases'!$E$10:$E$94,MATCH('Load Criteria'!X481,'Weather Cases'!$H$10:$H$94,0),1)=1,1,"-"),"-")</f>
        <v>-</v>
      </c>
      <c r="B481" s="555" t="s">
        <v>558</v>
      </c>
      <c r="C481" s="556" t="str">
        <f>IF('Weather Cases'!$E$40=0,"","DC/SC")</f>
        <v>DC/SC</v>
      </c>
      <c r="D481" s="556" t="s">
        <v>591</v>
      </c>
      <c r="E481" s="556" t="s">
        <v>22</v>
      </c>
      <c r="F481" s="556" t="s">
        <v>22</v>
      </c>
      <c r="G481" s="556" t="str">
        <f>IFERROR(IF(MID('Load Criteria'!X481,FIND("_",'Load Criteria'!X481,1)+1,1)=LEFT(Control!$D$23,1),"YES","-"),"-")</f>
        <v>-</v>
      </c>
      <c r="H481" s="549" t="s">
        <v>22</v>
      </c>
      <c r="I481" s="557" t="s">
        <v>376</v>
      </c>
      <c r="J481" s="508" t="s">
        <v>300</v>
      </c>
      <c r="K481" s="508"/>
      <c r="L481" s="508"/>
      <c r="M481" s="508"/>
      <c r="N481" s="508"/>
      <c r="O481" s="508"/>
      <c r="P481" s="395"/>
      <c r="Q481" s="395"/>
      <c r="R481" s="395"/>
      <c r="S481" s="395"/>
      <c r="T481" s="395"/>
      <c r="U481" s="255" t="s">
        <v>574</v>
      </c>
      <c r="V481" s="551"/>
      <c r="W481" s="542" t="str">
        <f t="shared" si="813"/>
        <v>-+ NA-</v>
      </c>
      <c r="X481" s="552" t="str">
        <f t="shared" si="814"/>
        <v>-</v>
      </c>
      <c r="Y481" s="552" t="s">
        <v>433</v>
      </c>
      <c r="Z481" s="552" t="str">
        <f t="shared" si="815"/>
        <v>NA-</v>
      </c>
      <c r="AA481" s="552"/>
      <c r="AB481" s="552">
        <v>1</v>
      </c>
      <c r="AC481" s="552">
        <v>1</v>
      </c>
      <c r="AD481" s="552">
        <v>1</v>
      </c>
      <c r="AE481" s="552">
        <v>1</v>
      </c>
      <c r="AF481" s="552">
        <v>1</v>
      </c>
      <c r="AG481" s="542" t="s">
        <v>561</v>
      </c>
      <c r="AH481" s="552">
        <v>0</v>
      </c>
      <c r="AI481" s="552">
        <v>0</v>
      </c>
      <c r="AJ481" s="552">
        <v>1</v>
      </c>
      <c r="AK481" s="552">
        <v>1</v>
      </c>
      <c r="AL481" s="552">
        <v>1</v>
      </c>
      <c r="AM481" s="552">
        <v>0</v>
      </c>
      <c r="AN481" s="552">
        <v>0</v>
      </c>
      <c r="AO481" s="552">
        <v>1</v>
      </c>
      <c r="AP481" s="552">
        <v>1</v>
      </c>
      <c r="AQ481" s="552">
        <v>1</v>
      </c>
      <c r="AR481" s="552">
        <v>1</v>
      </c>
      <c r="AS481" s="552">
        <v>1</v>
      </c>
      <c r="AT481" s="552">
        <v>1</v>
      </c>
      <c r="AU481" s="552"/>
      <c r="AV481" s="553" t="str">
        <f>IF(H481="YES","'"&amp;INDEX('Structure Groups'!$C$12:$C$14,MATCH('Load Criteria'!$B$5,'Structure Groups'!$B$12:$B$14,0),1)&amp;"'","'All'")</f>
        <v>'All'</v>
      </c>
      <c r="AW481" s="552" t="s">
        <v>562</v>
      </c>
      <c r="AX481" s="552"/>
      <c r="AY481" s="552" t="str">
        <f t="shared" si="786"/>
        <v>No</v>
      </c>
      <c r="AZ481" s="554" t="str">
        <f t="shared" si="787"/>
        <v/>
      </c>
      <c r="BA481" s="554" t="str">
        <f t="shared" si="816"/>
        <v/>
      </c>
      <c r="BB481" s="552" t="str">
        <f t="shared" si="817"/>
        <v/>
      </c>
      <c r="BC481" s="554" t="str">
        <f t="shared" si="789"/>
        <v/>
      </c>
      <c r="BD481" s="554" t="str">
        <f t="shared" si="818"/>
        <v/>
      </c>
      <c r="BE481" s="552" t="str">
        <f t="shared" si="819"/>
        <v/>
      </c>
      <c r="BF481" s="554" t="str">
        <f t="shared" si="791"/>
        <v/>
      </c>
      <c r="BG481" s="554" t="str">
        <f t="shared" si="820"/>
        <v/>
      </c>
      <c r="BH481" s="552" t="str">
        <f t="shared" si="821"/>
        <v/>
      </c>
      <c r="BI481" s="554" t="str">
        <f t="shared" si="793"/>
        <v/>
      </c>
      <c r="BJ481" s="554" t="str">
        <f t="shared" si="822"/>
        <v/>
      </c>
      <c r="BK481" s="552" t="str">
        <f t="shared" si="823"/>
        <v/>
      </c>
      <c r="BL481" s="554" t="str">
        <f t="shared" si="795"/>
        <v/>
      </c>
      <c r="BM481" s="554" t="str">
        <f t="shared" si="824"/>
        <v/>
      </c>
      <c r="BN481" s="552" t="str">
        <f t="shared" si="825"/>
        <v/>
      </c>
      <c r="BO481" s="554" t="str">
        <f t="shared" si="797"/>
        <v/>
      </c>
      <c r="BP481" s="554" t="str">
        <f t="shared" si="826"/>
        <v/>
      </c>
      <c r="BQ481" s="552" t="str">
        <f t="shared" si="827"/>
        <v/>
      </c>
      <c r="BR481" s="554"/>
      <c r="BS481" s="554"/>
      <c r="BT481" s="554"/>
      <c r="BU481" s="554"/>
      <c r="BV481" s="554"/>
      <c r="BW481" s="554"/>
      <c r="BX481" s="554"/>
      <c r="BY481" s="554"/>
      <c r="BZ481" s="554"/>
      <c r="CA481" s="554"/>
      <c r="CB481" s="554"/>
      <c r="CC481" s="554"/>
      <c r="CD481" s="554"/>
      <c r="CE481" s="554"/>
      <c r="CF481" s="554"/>
      <c r="CG481" s="554"/>
      <c r="CH481" s="554"/>
      <c r="CI481" s="554"/>
      <c r="CJ481" s="554"/>
      <c r="CK481" s="554"/>
      <c r="CL481" s="554"/>
      <c r="CM481" s="554"/>
      <c r="CN481" s="554"/>
      <c r="CO481" s="554"/>
      <c r="CP481" s="554"/>
      <c r="CQ481" s="554"/>
      <c r="CR481" s="554"/>
      <c r="CS481" s="554"/>
      <c r="CT481" s="554"/>
      <c r="CU481" s="554"/>
      <c r="CV481" s="554"/>
      <c r="CW481" s="554"/>
      <c r="CX481" s="554"/>
      <c r="CY481" s="554"/>
      <c r="CZ481" s="554"/>
      <c r="DA481" s="554"/>
      <c r="DB481" s="554"/>
      <c r="DC481" s="554"/>
      <c r="DD481" s="554"/>
      <c r="DE481" s="534"/>
      <c r="DF481" s="534"/>
      <c r="DG481" s="534"/>
    </row>
    <row r="482" spans="1:111" ht="15" x14ac:dyDescent="0.25">
      <c r="A482" s="549">
        <f>IFERROR(IF(INDEX('Weather Cases'!$E$10:$E$94,MATCH('Load Criteria'!X482,'Weather Cases'!$H$10:$H$94,0),1)=1,1,"-"),"-")</f>
        <v>1</v>
      </c>
      <c r="B482" s="555" t="s">
        <v>558</v>
      </c>
      <c r="C482" s="556" t="str">
        <f>IF('Weather Cases'!$E$40=0,"","DC/SC")</f>
        <v>DC/SC</v>
      </c>
      <c r="D482" s="556" t="s">
        <v>591</v>
      </c>
      <c r="E482" s="556" t="s">
        <v>22</v>
      </c>
      <c r="F482" s="556" t="s">
        <v>22</v>
      </c>
      <c r="G482" s="556" t="str">
        <f>IFERROR(IF(MID('Load Criteria'!X482,FIND("_",'Load Criteria'!X482,1)+1,1)=LEFT(Control!$D$23,1),"YES","-"),"-")</f>
        <v>YES</v>
      </c>
      <c r="H482" s="549" t="s">
        <v>22</v>
      </c>
      <c r="I482" s="557" t="s">
        <v>383</v>
      </c>
      <c r="J482" s="508" t="s">
        <v>300</v>
      </c>
      <c r="K482" s="508"/>
      <c r="L482" s="508"/>
      <c r="M482" s="508"/>
      <c r="N482" s="508"/>
      <c r="O482" s="508"/>
      <c r="P482" s="395"/>
      <c r="Q482" s="395"/>
      <c r="R482" s="395"/>
      <c r="S482" s="395"/>
      <c r="T482" s="395"/>
      <c r="U482" s="255" t="s">
        <v>568</v>
      </c>
      <c r="V482" s="551"/>
      <c r="W482" s="542" t="str">
        <f>X482&amp;"+"&amp;K482&amp;IF(L482="","",CONCATENATE(L482,M482,N482,O482))&amp;" "&amp;U482</f>
        <v>MWD_A120+ NA+</v>
      </c>
      <c r="X482" s="552" t="str">
        <f>'Weather Cases'!H74</f>
        <v>MWD_A120</v>
      </c>
      <c r="Y482" s="552" t="s">
        <v>433</v>
      </c>
      <c r="Z482" s="552" t="str">
        <f>U482</f>
        <v>NA+</v>
      </c>
      <c r="AA482" s="552"/>
      <c r="AB482" s="552">
        <v>1</v>
      </c>
      <c r="AC482" s="552">
        <v>1</v>
      </c>
      <c r="AD482" s="552">
        <v>1</v>
      </c>
      <c r="AE482" s="552">
        <v>1</v>
      </c>
      <c r="AF482" s="552">
        <v>1</v>
      </c>
      <c r="AG482" s="542" t="s">
        <v>561</v>
      </c>
      <c r="AH482" s="552">
        <v>0</v>
      </c>
      <c r="AI482" s="552">
        <v>0</v>
      </c>
      <c r="AJ482" s="552">
        <v>1</v>
      </c>
      <c r="AK482" s="552">
        <v>1</v>
      </c>
      <c r="AL482" s="552">
        <v>1</v>
      </c>
      <c r="AM482" s="552">
        <v>0</v>
      </c>
      <c r="AN482" s="552">
        <v>0</v>
      </c>
      <c r="AO482" s="552">
        <v>1</v>
      </c>
      <c r="AP482" s="552">
        <v>1</v>
      </c>
      <c r="AQ482" s="552">
        <v>1</v>
      </c>
      <c r="AR482" s="552">
        <v>1</v>
      </c>
      <c r="AS482" s="552">
        <v>1</v>
      </c>
      <c r="AT482" s="552">
        <v>1</v>
      </c>
      <c r="AU482" s="552">
        <v>1</v>
      </c>
      <c r="AV482" s="553" t="str">
        <f>IF(H482="YES","'"&amp;INDEX('Structure Groups'!$C$12:$C$14,MATCH('Load Criteria'!$B$5,'Structure Groups'!$B$12:$B$14,0),1)&amp;"'","'All'")</f>
        <v>'All'</v>
      </c>
      <c r="AW482" s="552" t="s">
        <v>562</v>
      </c>
      <c r="AX482" s="552"/>
      <c r="AY482" s="552" t="str">
        <f t="shared" si="786"/>
        <v>No</v>
      </c>
      <c r="AZ482" s="554" t="str">
        <f t="shared" si="787"/>
        <v/>
      </c>
      <c r="BA482" s="554" t="str">
        <f>IF(AZ482="","","Broken Wire (# Broken Subconductors)")</f>
        <v/>
      </c>
      <c r="BB482" s="552" t="str">
        <f t="shared" si="788"/>
        <v/>
      </c>
      <c r="BC482" s="554" t="str">
        <f t="shared" si="789"/>
        <v/>
      </c>
      <c r="BD482" s="554" t="str">
        <f>IF(BC482="","","Broken Wire (# Broken Subconductors)")</f>
        <v/>
      </c>
      <c r="BE482" s="552" t="str">
        <f t="shared" si="790"/>
        <v/>
      </c>
      <c r="BF482" s="554" t="str">
        <f t="shared" si="791"/>
        <v/>
      </c>
      <c r="BG482" s="554" t="str">
        <f>IF(BF482="","","Broken Wire (# Broken Subconductors)")</f>
        <v/>
      </c>
      <c r="BH482" s="552" t="str">
        <f t="shared" si="792"/>
        <v/>
      </c>
      <c r="BI482" s="554" t="str">
        <f t="shared" si="793"/>
        <v/>
      </c>
      <c r="BJ482" s="554" t="str">
        <f>IF(BI482="","","Broken Wire (# Broken Subconductors)")</f>
        <v/>
      </c>
      <c r="BK482" s="552" t="str">
        <f t="shared" si="794"/>
        <v/>
      </c>
      <c r="BL482" s="554" t="str">
        <f t="shared" si="795"/>
        <v/>
      </c>
      <c r="BM482" s="554" t="str">
        <f>IF(BL482="","","Broken Wire (# Broken Subconductors)")</f>
        <v/>
      </c>
      <c r="BN482" s="552" t="str">
        <f t="shared" si="796"/>
        <v/>
      </c>
      <c r="BO482" s="554" t="str">
        <f t="shared" si="797"/>
        <v/>
      </c>
      <c r="BP482" s="554" t="str">
        <f>IF(BO482="","","Broken Wire (# Broken Subconductors)")</f>
        <v/>
      </c>
      <c r="BQ482" s="552" t="str">
        <f t="shared" si="798"/>
        <v/>
      </c>
      <c r="BR482" s="554"/>
      <c r="BS482" s="554"/>
      <c r="BT482" s="554"/>
      <c r="BU482" s="554"/>
      <c r="BV482" s="554"/>
      <c r="BW482" s="554"/>
      <c r="BX482" s="554"/>
      <c r="BY482" s="554"/>
      <c r="BZ482" s="554"/>
      <c r="CA482" s="554"/>
      <c r="CB482" s="554"/>
      <c r="CC482" s="554"/>
      <c r="CD482" s="554"/>
      <c r="CE482" s="554"/>
      <c r="CF482" s="554"/>
      <c r="CG482" s="554"/>
      <c r="CH482" s="554"/>
      <c r="CI482" s="554"/>
      <c r="CJ482" s="554"/>
      <c r="CK482" s="554"/>
      <c r="CL482" s="554"/>
      <c r="CM482" s="554"/>
      <c r="CN482" s="554"/>
      <c r="CO482" s="554"/>
      <c r="CP482" s="554"/>
      <c r="CQ482" s="554"/>
      <c r="CR482" s="554"/>
      <c r="CS482" s="554"/>
      <c r="CT482" s="554"/>
      <c r="CU482" s="554"/>
      <c r="CV482" s="554"/>
      <c r="CW482" s="554"/>
      <c r="CX482" s="554"/>
      <c r="CY482" s="554"/>
      <c r="CZ482" s="554"/>
      <c r="DA482" s="554"/>
      <c r="DB482" s="554"/>
      <c r="DC482" s="554"/>
      <c r="DD482" s="554"/>
      <c r="DE482" s="534"/>
      <c r="DF482" s="534"/>
      <c r="DG482" s="534"/>
    </row>
    <row r="483" spans="1:111" ht="15" hidden="1" x14ac:dyDescent="0.25">
      <c r="A483" s="549" t="str">
        <f>IFERROR(IF(INDEX('Weather Cases'!$E$10:$E$94,MATCH('Load Criteria'!X483,'Weather Cases'!$H$10:$H$94,0),1)=1,1,"-"),"-")</f>
        <v>-</v>
      </c>
      <c r="B483" s="555" t="s">
        <v>558</v>
      </c>
      <c r="C483" s="556" t="str">
        <f>IF('Weather Cases'!$E$40=0,"","DC/SC")</f>
        <v>DC/SC</v>
      </c>
      <c r="D483" s="556" t="s">
        <v>591</v>
      </c>
      <c r="E483" s="556" t="s">
        <v>22</v>
      </c>
      <c r="F483" s="556" t="s">
        <v>22</v>
      </c>
      <c r="G483" s="556" t="str">
        <f>IFERROR(IF(MID('Load Criteria'!X483,FIND("_",'Load Criteria'!X483,1)+1,1)=LEFT(Control!$D$23,1),"YES","-"),"-")</f>
        <v>-</v>
      </c>
      <c r="H483" s="549" t="s">
        <v>22</v>
      </c>
      <c r="I483" s="557" t="s">
        <v>383</v>
      </c>
      <c r="J483" s="508" t="s">
        <v>300</v>
      </c>
      <c r="K483" s="508"/>
      <c r="L483" s="508"/>
      <c r="M483" s="508"/>
      <c r="N483" s="508"/>
      <c r="O483" s="508"/>
      <c r="P483" s="395"/>
      <c r="Q483" s="395"/>
      <c r="R483" s="395"/>
      <c r="S483" s="395"/>
      <c r="T483" s="395"/>
      <c r="U483" s="255" t="s">
        <v>568</v>
      </c>
      <c r="V483" s="551"/>
      <c r="W483" s="542" t="str">
        <f t="shared" ref="W483:W485" si="828">X483&amp;"+"&amp;K483&amp;IF(L483="","",CONCATENATE(L483,M483,N483,O483))&amp;" "&amp;U483</f>
        <v>-+ NA+</v>
      </c>
      <c r="X483" s="552" t="str">
        <f>'Weather Cases'!H75</f>
        <v>-</v>
      </c>
      <c r="Y483" s="552" t="s">
        <v>433</v>
      </c>
      <c r="Z483" s="552" t="str">
        <f t="shared" ref="Z483:Z485" si="829">U483</f>
        <v>NA+</v>
      </c>
      <c r="AA483" s="552"/>
      <c r="AB483" s="552">
        <v>1</v>
      </c>
      <c r="AC483" s="552">
        <v>1</v>
      </c>
      <c r="AD483" s="552">
        <v>1</v>
      </c>
      <c r="AE483" s="552">
        <v>1</v>
      </c>
      <c r="AF483" s="552">
        <v>1</v>
      </c>
      <c r="AG483" s="542" t="s">
        <v>561</v>
      </c>
      <c r="AH483" s="552">
        <v>0</v>
      </c>
      <c r="AI483" s="552">
        <v>0</v>
      </c>
      <c r="AJ483" s="552">
        <v>1</v>
      </c>
      <c r="AK483" s="552">
        <v>1</v>
      </c>
      <c r="AL483" s="552">
        <v>1</v>
      </c>
      <c r="AM483" s="552">
        <v>0</v>
      </c>
      <c r="AN483" s="552">
        <v>0</v>
      </c>
      <c r="AO483" s="552">
        <v>1</v>
      </c>
      <c r="AP483" s="552">
        <v>1</v>
      </c>
      <c r="AQ483" s="552">
        <v>1</v>
      </c>
      <c r="AR483" s="552">
        <v>1</v>
      </c>
      <c r="AS483" s="552">
        <v>1</v>
      </c>
      <c r="AT483" s="552">
        <v>1</v>
      </c>
      <c r="AU483" s="552">
        <v>1</v>
      </c>
      <c r="AV483" s="553" t="str">
        <f>IF(H483="YES","'"&amp;INDEX('Structure Groups'!$C$12:$C$14,MATCH('Load Criteria'!$B$5,'Structure Groups'!$B$12:$B$14,0),1)&amp;"'","'All'")</f>
        <v>'All'</v>
      </c>
      <c r="AW483" s="552" t="s">
        <v>562</v>
      </c>
      <c r="AX483" s="552"/>
      <c r="AY483" s="552" t="str">
        <f t="shared" si="786"/>
        <v>No</v>
      </c>
      <c r="AZ483" s="554" t="str">
        <f t="shared" si="787"/>
        <v/>
      </c>
      <c r="BA483" s="554" t="str">
        <f t="shared" ref="BA483:BA485" si="830">IF(AZ483="","","Broken Wire (# Broken Subconductors)")</f>
        <v/>
      </c>
      <c r="BB483" s="552" t="str">
        <f t="shared" ref="BB483:BB485" si="831">IF(AZ483="","",4)</f>
        <v/>
      </c>
      <c r="BC483" s="554" t="str">
        <f t="shared" si="789"/>
        <v/>
      </c>
      <c r="BD483" s="554" t="str">
        <f t="shared" ref="BD483:BD485" si="832">IF(BC483="","","Broken Wire (# Broken Subconductors)")</f>
        <v/>
      </c>
      <c r="BE483" s="552" t="str">
        <f t="shared" ref="BE483:BE485" si="833">IF(BC483="","",4)</f>
        <v/>
      </c>
      <c r="BF483" s="554" t="str">
        <f t="shared" si="791"/>
        <v/>
      </c>
      <c r="BG483" s="554" t="str">
        <f t="shared" ref="BG483:BG485" si="834">IF(BF483="","","Broken Wire (# Broken Subconductors)")</f>
        <v/>
      </c>
      <c r="BH483" s="552" t="str">
        <f t="shared" ref="BH483:BH485" si="835">IF(BF483="","",4)</f>
        <v/>
      </c>
      <c r="BI483" s="554" t="str">
        <f t="shared" si="793"/>
        <v/>
      </c>
      <c r="BJ483" s="554" t="str">
        <f t="shared" ref="BJ483:BJ485" si="836">IF(BI483="","","Broken Wire (# Broken Subconductors)")</f>
        <v/>
      </c>
      <c r="BK483" s="552" t="str">
        <f t="shared" ref="BK483:BK485" si="837">IF(BI483="","",4)</f>
        <v/>
      </c>
      <c r="BL483" s="554" t="str">
        <f t="shared" si="795"/>
        <v/>
      </c>
      <c r="BM483" s="554" t="str">
        <f t="shared" ref="BM483:BM485" si="838">IF(BL483="","","Broken Wire (# Broken Subconductors)")</f>
        <v/>
      </c>
      <c r="BN483" s="552" t="str">
        <f t="shared" ref="BN483:BN485" si="839">IF(BL483="","",4)</f>
        <v/>
      </c>
      <c r="BO483" s="554" t="str">
        <f t="shared" si="797"/>
        <v/>
      </c>
      <c r="BP483" s="554" t="str">
        <f t="shared" ref="BP483:BP485" si="840">IF(BO483="","","Broken Wire (# Broken Subconductors)")</f>
        <v/>
      </c>
      <c r="BQ483" s="552" t="str">
        <f t="shared" ref="BQ483:BQ485" si="841">IF(BO483="","",4)</f>
        <v/>
      </c>
      <c r="BR483" s="554"/>
      <c r="BS483" s="554"/>
      <c r="BT483" s="554"/>
      <c r="BU483" s="554"/>
      <c r="BV483" s="554"/>
      <c r="BW483" s="554"/>
      <c r="BX483" s="554"/>
      <c r="BY483" s="554"/>
      <c r="BZ483" s="554"/>
      <c r="CA483" s="554"/>
      <c r="CB483" s="554"/>
      <c r="CC483" s="554"/>
      <c r="CD483" s="554"/>
      <c r="CE483" s="554"/>
      <c r="CF483" s="554"/>
      <c r="CG483" s="554"/>
      <c r="CH483" s="554"/>
      <c r="CI483" s="554"/>
      <c r="CJ483" s="554"/>
      <c r="CK483" s="554"/>
      <c r="CL483" s="554"/>
      <c r="CM483" s="554"/>
      <c r="CN483" s="554"/>
      <c r="CO483" s="554"/>
      <c r="CP483" s="554"/>
      <c r="CQ483" s="554"/>
      <c r="CR483" s="554"/>
      <c r="CS483" s="554"/>
      <c r="CT483" s="554"/>
      <c r="CU483" s="554"/>
      <c r="CV483" s="554"/>
      <c r="CW483" s="554"/>
      <c r="CX483" s="554"/>
      <c r="CY483" s="554"/>
      <c r="CZ483" s="554"/>
      <c r="DA483" s="554"/>
      <c r="DB483" s="554"/>
      <c r="DC483" s="554"/>
      <c r="DD483" s="554"/>
      <c r="DE483" s="534"/>
      <c r="DF483" s="534"/>
      <c r="DG483" s="534"/>
    </row>
    <row r="484" spans="1:111" ht="15" hidden="1" x14ac:dyDescent="0.25">
      <c r="A484" s="549" t="str">
        <f>IFERROR(IF(INDEX('Weather Cases'!$E$10:$E$94,MATCH('Load Criteria'!X484,'Weather Cases'!$H$10:$H$94,0),1)=1,1,"-"),"-")</f>
        <v>-</v>
      </c>
      <c r="B484" s="555" t="s">
        <v>558</v>
      </c>
      <c r="C484" s="556" t="str">
        <f>IF('Weather Cases'!$E$40=0,"","DC/SC")</f>
        <v>DC/SC</v>
      </c>
      <c r="D484" s="556" t="s">
        <v>591</v>
      </c>
      <c r="E484" s="556" t="s">
        <v>22</v>
      </c>
      <c r="F484" s="556" t="s">
        <v>22</v>
      </c>
      <c r="G484" s="556" t="str">
        <f>IFERROR(IF(MID('Load Criteria'!X484,FIND("_",'Load Criteria'!X484,1)+1,1)=LEFT(Control!$D$23,1),"YES","-"),"-")</f>
        <v>-</v>
      </c>
      <c r="H484" s="549" t="s">
        <v>22</v>
      </c>
      <c r="I484" s="557" t="s">
        <v>383</v>
      </c>
      <c r="J484" s="508" t="s">
        <v>300</v>
      </c>
      <c r="K484" s="508"/>
      <c r="L484" s="508"/>
      <c r="M484" s="508"/>
      <c r="N484" s="508"/>
      <c r="O484" s="508"/>
      <c r="P484" s="395"/>
      <c r="Q484" s="395"/>
      <c r="R484" s="395"/>
      <c r="S484" s="395"/>
      <c r="T484" s="395"/>
      <c r="U484" s="255" t="s">
        <v>568</v>
      </c>
      <c r="V484" s="551"/>
      <c r="W484" s="542" t="str">
        <f>X484&amp;"+"&amp;K484&amp;IF(L484="","",CONCATENATE(L484,M484,N484,O484))&amp;" "&amp;U484</f>
        <v>-+ NA+</v>
      </c>
      <c r="X484" s="552" t="str">
        <f>'Weather Cases'!H76</f>
        <v>-</v>
      </c>
      <c r="Y484" s="552" t="s">
        <v>433</v>
      </c>
      <c r="Z484" s="552" t="str">
        <f t="shared" si="829"/>
        <v>NA+</v>
      </c>
      <c r="AA484" s="552"/>
      <c r="AB484" s="552">
        <v>1</v>
      </c>
      <c r="AC484" s="552">
        <v>1</v>
      </c>
      <c r="AD484" s="552">
        <v>1</v>
      </c>
      <c r="AE484" s="552">
        <v>1</v>
      </c>
      <c r="AF484" s="552">
        <v>1</v>
      </c>
      <c r="AG484" s="542" t="s">
        <v>561</v>
      </c>
      <c r="AH484" s="552">
        <v>0</v>
      </c>
      <c r="AI484" s="552">
        <v>0</v>
      </c>
      <c r="AJ484" s="552">
        <v>1</v>
      </c>
      <c r="AK484" s="552">
        <v>1</v>
      </c>
      <c r="AL484" s="552">
        <v>1</v>
      </c>
      <c r="AM484" s="552">
        <v>0</v>
      </c>
      <c r="AN484" s="552">
        <v>0</v>
      </c>
      <c r="AO484" s="552">
        <v>1</v>
      </c>
      <c r="AP484" s="552">
        <v>1</v>
      </c>
      <c r="AQ484" s="552">
        <v>1</v>
      </c>
      <c r="AR484" s="552">
        <v>1</v>
      </c>
      <c r="AS484" s="552">
        <v>1</v>
      </c>
      <c r="AT484" s="552">
        <v>1</v>
      </c>
      <c r="AU484" s="552">
        <v>1</v>
      </c>
      <c r="AV484" s="553" t="str">
        <f>IF(H484="YES","'"&amp;INDEX('Structure Groups'!$C$12:$C$14,MATCH('Load Criteria'!$B$5,'Structure Groups'!$B$12:$B$14,0),1)&amp;"'","'All'")</f>
        <v>'All'</v>
      </c>
      <c r="AW484" s="552" t="s">
        <v>562</v>
      </c>
      <c r="AX484" s="552"/>
      <c r="AY484" s="552" t="str">
        <f t="shared" si="786"/>
        <v>No</v>
      </c>
      <c r="AZ484" s="554" t="str">
        <f t="shared" si="787"/>
        <v/>
      </c>
      <c r="BA484" s="554" t="str">
        <f t="shared" si="830"/>
        <v/>
      </c>
      <c r="BB484" s="552" t="str">
        <f t="shared" si="831"/>
        <v/>
      </c>
      <c r="BC484" s="554" t="str">
        <f t="shared" si="789"/>
        <v/>
      </c>
      <c r="BD484" s="554" t="str">
        <f t="shared" si="832"/>
        <v/>
      </c>
      <c r="BE484" s="552" t="str">
        <f t="shared" si="833"/>
        <v/>
      </c>
      <c r="BF484" s="554" t="str">
        <f t="shared" si="791"/>
        <v/>
      </c>
      <c r="BG484" s="554" t="str">
        <f t="shared" si="834"/>
        <v/>
      </c>
      <c r="BH484" s="552" t="str">
        <f t="shared" si="835"/>
        <v/>
      </c>
      <c r="BI484" s="554" t="str">
        <f t="shared" si="793"/>
        <v/>
      </c>
      <c r="BJ484" s="554" t="str">
        <f t="shared" si="836"/>
        <v/>
      </c>
      <c r="BK484" s="552" t="str">
        <f t="shared" si="837"/>
        <v/>
      </c>
      <c r="BL484" s="554" t="str">
        <f t="shared" si="795"/>
        <v/>
      </c>
      <c r="BM484" s="554" t="str">
        <f t="shared" si="838"/>
        <v/>
      </c>
      <c r="BN484" s="552" t="str">
        <f t="shared" si="839"/>
        <v/>
      </c>
      <c r="BO484" s="554" t="str">
        <f t="shared" si="797"/>
        <v/>
      </c>
      <c r="BP484" s="554" t="str">
        <f t="shared" si="840"/>
        <v/>
      </c>
      <c r="BQ484" s="552" t="str">
        <f t="shared" si="841"/>
        <v/>
      </c>
      <c r="BR484" s="554"/>
      <c r="BS484" s="554"/>
      <c r="BT484" s="554"/>
      <c r="BU484" s="554"/>
      <c r="BV484" s="554"/>
      <c r="BW484" s="554"/>
      <c r="BX484" s="554"/>
      <c r="BY484" s="554"/>
      <c r="BZ484" s="554"/>
      <c r="CA484" s="554"/>
      <c r="CB484" s="554"/>
      <c r="CC484" s="554"/>
      <c r="CD484" s="554"/>
      <c r="CE484" s="554"/>
      <c r="CF484" s="554"/>
      <c r="CG484" s="554"/>
      <c r="CH484" s="554"/>
      <c r="CI484" s="554"/>
      <c r="CJ484" s="554"/>
      <c r="CK484" s="554"/>
      <c r="CL484" s="554"/>
      <c r="CM484" s="554"/>
      <c r="CN484" s="554"/>
      <c r="CO484" s="554"/>
      <c r="CP484" s="554"/>
      <c r="CQ484" s="554"/>
      <c r="CR484" s="554"/>
      <c r="CS484" s="554"/>
      <c r="CT484" s="554"/>
      <c r="CU484" s="554"/>
      <c r="CV484" s="554"/>
      <c r="CW484" s="554"/>
      <c r="CX484" s="554"/>
      <c r="CY484" s="554"/>
      <c r="CZ484" s="554"/>
      <c r="DA484" s="554"/>
      <c r="DB484" s="554"/>
      <c r="DC484" s="554"/>
      <c r="DD484" s="554"/>
      <c r="DE484" s="534"/>
      <c r="DF484" s="534"/>
      <c r="DG484" s="534"/>
    </row>
    <row r="485" spans="1:111" ht="15" hidden="1" x14ac:dyDescent="0.25">
      <c r="A485" s="549" t="str">
        <f>IFERROR(IF(INDEX('Weather Cases'!$E$10:$E$94,MATCH('Load Criteria'!X485,'Weather Cases'!$H$10:$H$94,0),1)=1,1,"-"),"-")</f>
        <v>-</v>
      </c>
      <c r="B485" s="555" t="s">
        <v>558</v>
      </c>
      <c r="C485" s="556" t="str">
        <f>IF('Weather Cases'!$E$40=0,"","DC/SC")</f>
        <v>DC/SC</v>
      </c>
      <c r="D485" s="556" t="s">
        <v>591</v>
      </c>
      <c r="E485" s="556" t="s">
        <v>22</v>
      </c>
      <c r="F485" s="556" t="s">
        <v>22</v>
      </c>
      <c r="G485" s="556" t="str">
        <f>IFERROR(IF(MID('Load Criteria'!X485,FIND("_",'Load Criteria'!X485,1)+1,1)=LEFT(Control!$D$23,1),"YES","-"),"-")</f>
        <v>-</v>
      </c>
      <c r="H485" s="549" t="s">
        <v>22</v>
      </c>
      <c r="I485" s="557" t="s">
        <v>383</v>
      </c>
      <c r="J485" s="508" t="s">
        <v>300</v>
      </c>
      <c r="K485" s="508"/>
      <c r="L485" s="508"/>
      <c r="M485" s="508"/>
      <c r="N485" s="508"/>
      <c r="O485" s="508"/>
      <c r="P485" s="395"/>
      <c r="Q485" s="395"/>
      <c r="R485" s="395"/>
      <c r="S485" s="395"/>
      <c r="T485" s="395"/>
      <c r="U485" s="255" t="s">
        <v>568</v>
      </c>
      <c r="V485" s="551"/>
      <c r="W485" s="542" t="str">
        <f t="shared" si="828"/>
        <v>-+ NA+</v>
      </c>
      <c r="X485" s="552" t="str">
        <f>'Weather Cases'!H77</f>
        <v>-</v>
      </c>
      <c r="Y485" s="552" t="s">
        <v>433</v>
      </c>
      <c r="Z485" s="552" t="str">
        <f t="shared" si="829"/>
        <v>NA+</v>
      </c>
      <c r="AA485" s="552"/>
      <c r="AB485" s="552">
        <v>1</v>
      </c>
      <c r="AC485" s="552">
        <v>1</v>
      </c>
      <c r="AD485" s="552">
        <v>1</v>
      </c>
      <c r="AE485" s="552">
        <v>1</v>
      </c>
      <c r="AF485" s="552">
        <v>1</v>
      </c>
      <c r="AG485" s="542" t="s">
        <v>561</v>
      </c>
      <c r="AH485" s="552">
        <v>0</v>
      </c>
      <c r="AI485" s="552">
        <v>0</v>
      </c>
      <c r="AJ485" s="552">
        <v>1</v>
      </c>
      <c r="AK485" s="552">
        <v>1</v>
      </c>
      <c r="AL485" s="552">
        <v>1</v>
      </c>
      <c r="AM485" s="552">
        <v>0</v>
      </c>
      <c r="AN485" s="552">
        <v>0</v>
      </c>
      <c r="AO485" s="552">
        <v>1</v>
      </c>
      <c r="AP485" s="552">
        <v>1</v>
      </c>
      <c r="AQ485" s="552">
        <v>1</v>
      </c>
      <c r="AR485" s="552">
        <v>1</v>
      </c>
      <c r="AS485" s="552">
        <v>1</v>
      </c>
      <c r="AT485" s="552">
        <v>1</v>
      </c>
      <c r="AU485" s="552"/>
      <c r="AV485" s="553" t="str">
        <f>IF(H485="YES","'"&amp;INDEX('Structure Groups'!$C$12:$C$14,MATCH('Load Criteria'!$B$5,'Structure Groups'!$B$12:$B$14,0),1)&amp;"'","'All'")</f>
        <v>'All'</v>
      </c>
      <c r="AW485" s="552" t="s">
        <v>562</v>
      </c>
      <c r="AX485" s="552"/>
      <c r="AY485" s="552" t="str">
        <f t="shared" si="786"/>
        <v>No</v>
      </c>
      <c r="AZ485" s="554" t="str">
        <f t="shared" si="787"/>
        <v/>
      </c>
      <c r="BA485" s="554" t="str">
        <f t="shared" si="830"/>
        <v/>
      </c>
      <c r="BB485" s="552" t="str">
        <f t="shared" si="831"/>
        <v/>
      </c>
      <c r="BC485" s="554" t="str">
        <f t="shared" si="789"/>
        <v/>
      </c>
      <c r="BD485" s="554" t="str">
        <f t="shared" si="832"/>
        <v/>
      </c>
      <c r="BE485" s="552" t="str">
        <f t="shared" si="833"/>
        <v/>
      </c>
      <c r="BF485" s="554" t="str">
        <f t="shared" si="791"/>
        <v/>
      </c>
      <c r="BG485" s="554" t="str">
        <f t="shared" si="834"/>
        <v/>
      </c>
      <c r="BH485" s="552" t="str">
        <f t="shared" si="835"/>
        <v/>
      </c>
      <c r="BI485" s="554" t="str">
        <f t="shared" si="793"/>
        <v/>
      </c>
      <c r="BJ485" s="554" t="str">
        <f t="shared" si="836"/>
        <v/>
      </c>
      <c r="BK485" s="552" t="str">
        <f t="shared" si="837"/>
        <v/>
      </c>
      <c r="BL485" s="554" t="str">
        <f t="shared" si="795"/>
        <v/>
      </c>
      <c r="BM485" s="554" t="str">
        <f t="shared" si="838"/>
        <v/>
      </c>
      <c r="BN485" s="552" t="str">
        <f t="shared" si="839"/>
        <v/>
      </c>
      <c r="BO485" s="554" t="str">
        <f t="shared" si="797"/>
        <v/>
      </c>
      <c r="BP485" s="554" t="str">
        <f t="shared" si="840"/>
        <v/>
      </c>
      <c r="BQ485" s="552" t="str">
        <f t="shared" si="841"/>
        <v/>
      </c>
      <c r="BR485" s="554"/>
      <c r="BS485" s="554"/>
      <c r="BT485" s="554"/>
      <c r="BU485" s="554"/>
      <c r="BV485" s="554"/>
      <c r="BW485" s="554"/>
      <c r="BX485" s="554"/>
      <c r="BY485" s="554"/>
      <c r="BZ485" s="554"/>
      <c r="CA485" s="554"/>
      <c r="CB485" s="554"/>
      <c r="CC485" s="554"/>
      <c r="CD485" s="554"/>
      <c r="CE485" s="554"/>
      <c r="CF485" s="554"/>
      <c r="CG485" s="554"/>
      <c r="CH485" s="554"/>
      <c r="CI485" s="554"/>
      <c r="CJ485" s="554"/>
      <c r="CK485" s="554"/>
      <c r="CL485" s="554"/>
      <c r="CM485" s="554"/>
      <c r="CN485" s="554"/>
      <c r="CO485" s="554"/>
      <c r="CP485" s="554"/>
      <c r="CQ485" s="554"/>
      <c r="CR485" s="554"/>
      <c r="CS485" s="554"/>
      <c r="CT485" s="554"/>
      <c r="CU485" s="554"/>
      <c r="CV485" s="554"/>
      <c r="CW485" s="554"/>
      <c r="CX485" s="554"/>
      <c r="CY485" s="554"/>
      <c r="CZ485" s="554"/>
      <c r="DA485" s="554"/>
      <c r="DB485" s="554"/>
      <c r="DC485" s="554"/>
      <c r="DD485" s="554"/>
      <c r="DE485" s="534"/>
      <c r="DF485" s="534"/>
      <c r="DG485" s="534"/>
    </row>
    <row r="486" spans="1:111" ht="15" x14ac:dyDescent="0.25">
      <c r="A486" s="549">
        <f>IFERROR(IF(INDEX('Weather Cases'!$E$10:$E$94,MATCH('Load Criteria'!X486,'Weather Cases'!$H$10:$H$94,0),1)=1,1,"-"),"-")</f>
        <v>1</v>
      </c>
      <c r="B486" s="555" t="s">
        <v>558</v>
      </c>
      <c r="C486" s="556" t="str">
        <f>IF('Weather Cases'!$E$40=0,"","DC/SC")</f>
        <v>DC/SC</v>
      </c>
      <c r="D486" s="556" t="s">
        <v>591</v>
      </c>
      <c r="E486" s="556" t="s">
        <v>22</v>
      </c>
      <c r="F486" s="556" t="s">
        <v>22</v>
      </c>
      <c r="G486" s="556" t="str">
        <f>IFERROR(IF(MID('Load Criteria'!X486,FIND("_",'Load Criteria'!X486,1)+1,1)=LEFT(Control!$D$23,1),"YES","-"),"-")</f>
        <v>YES</v>
      </c>
      <c r="H486" s="549" t="s">
        <v>22</v>
      </c>
      <c r="I486" s="557" t="s">
        <v>383</v>
      </c>
      <c r="J486" s="508" t="s">
        <v>300</v>
      </c>
      <c r="K486" s="508"/>
      <c r="L486" s="508"/>
      <c r="M486" s="508"/>
      <c r="N486" s="508"/>
      <c r="O486" s="508"/>
      <c r="P486" s="395"/>
      <c r="Q486" s="395"/>
      <c r="R486" s="395"/>
      <c r="S486" s="395"/>
      <c r="T486" s="395"/>
      <c r="U486" s="255" t="s">
        <v>574</v>
      </c>
      <c r="V486" s="551"/>
      <c r="W486" s="542" t="str">
        <f>X486&amp;"+"&amp;K486&amp;IF(L486="","",CONCATENATE(L486,M486,N486,O486))&amp;" "&amp;U486</f>
        <v>MWD_A120+ NA-</v>
      </c>
      <c r="X486" s="552" t="str">
        <f>X482</f>
        <v>MWD_A120</v>
      </c>
      <c r="Y486" s="552" t="s">
        <v>433</v>
      </c>
      <c r="Z486" s="552" t="str">
        <f>U486</f>
        <v>NA-</v>
      </c>
      <c r="AA486" s="552"/>
      <c r="AB486" s="552">
        <v>1</v>
      </c>
      <c r="AC486" s="552">
        <v>1</v>
      </c>
      <c r="AD486" s="552">
        <v>1</v>
      </c>
      <c r="AE486" s="552">
        <v>1</v>
      </c>
      <c r="AF486" s="552">
        <v>1</v>
      </c>
      <c r="AG486" s="542" t="s">
        <v>561</v>
      </c>
      <c r="AH486" s="552">
        <v>0</v>
      </c>
      <c r="AI486" s="552">
        <v>0</v>
      </c>
      <c r="AJ486" s="552">
        <v>1</v>
      </c>
      <c r="AK486" s="552">
        <v>1</v>
      </c>
      <c r="AL486" s="552">
        <v>1</v>
      </c>
      <c r="AM486" s="552">
        <v>0</v>
      </c>
      <c r="AN486" s="552">
        <v>0</v>
      </c>
      <c r="AO486" s="552">
        <v>1</v>
      </c>
      <c r="AP486" s="552">
        <v>1</v>
      </c>
      <c r="AQ486" s="552">
        <v>1</v>
      </c>
      <c r="AR486" s="552">
        <v>1</v>
      </c>
      <c r="AS486" s="552">
        <v>1</v>
      </c>
      <c r="AT486" s="552">
        <v>1</v>
      </c>
      <c r="AU486" s="552">
        <v>1</v>
      </c>
      <c r="AV486" s="553" t="str">
        <f>IF(H486="YES","'"&amp;INDEX('Structure Groups'!$C$12:$C$14,MATCH('Load Criteria'!$B$5,'Structure Groups'!$B$12:$B$14,0),1)&amp;"'","'All'")</f>
        <v>'All'</v>
      </c>
      <c r="AW486" s="552" t="s">
        <v>562</v>
      </c>
      <c r="AX486" s="552"/>
      <c r="AY486" s="552" t="str">
        <f t="shared" si="786"/>
        <v>No</v>
      </c>
      <c r="AZ486" s="554" t="str">
        <f t="shared" si="787"/>
        <v/>
      </c>
      <c r="BA486" s="554" t="str">
        <f>IF(AZ486="","","Broken Wire (# Broken Subconductors)")</f>
        <v/>
      </c>
      <c r="BB486" s="552" t="str">
        <f t="shared" si="788"/>
        <v/>
      </c>
      <c r="BC486" s="554" t="str">
        <f t="shared" si="789"/>
        <v/>
      </c>
      <c r="BD486" s="554" t="str">
        <f>IF(BC486="","","Broken Wire (# Broken Subconductors)")</f>
        <v/>
      </c>
      <c r="BE486" s="552" t="str">
        <f t="shared" si="790"/>
        <v/>
      </c>
      <c r="BF486" s="554" t="str">
        <f t="shared" si="791"/>
        <v/>
      </c>
      <c r="BG486" s="554" t="str">
        <f>IF(BF486="","","Broken Wire (# Broken Subconductors)")</f>
        <v/>
      </c>
      <c r="BH486" s="552" t="str">
        <f t="shared" si="792"/>
        <v/>
      </c>
      <c r="BI486" s="554" t="str">
        <f t="shared" si="793"/>
        <v/>
      </c>
      <c r="BJ486" s="554" t="str">
        <f>IF(BI486="","","Broken Wire (# Broken Subconductors)")</f>
        <v/>
      </c>
      <c r="BK486" s="552" t="str">
        <f t="shared" si="794"/>
        <v/>
      </c>
      <c r="BL486" s="554" t="str">
        <f t="shared" si="795"/>
        <v/>
      </c>
      <c r="BM486" s="554" t="str">
        <f>IF(BL486="","","Broken Wire (# Broken Subconductors)")</f>
        <v/>
      </c>
      <c r="BN486" s="552" t="str">
        <f t="shared" si="796"/>
        <v/>
      </c>
      <c r="BO486" s="554" t="str">
        <f t="shared" si="797"/>
        <v/>
      </c>
      <c r="BP486" s="554" t="str">
        <f>IF(BO486="","","Broken Wire (# Broken Subconductors)")</f>
        <v/>
      </c>
      <c r="BQ486" s="552" t="str">
        <f t="shared" si="798"/>
        <v/>
      </c>
      <c r="BR486" s="554"/>
      <c r="BS486" s="554"/>
      <c r="BT486" s="554"/>
      <c r="BU486" s="554"/>
      <c r="BV486" s="554"/>
      <c r="BW486" s="554"/>
      <c r="BX486" s="554"/>
      <c r="BY486" s="554"/>
      <c r="BZ486" s="554"/>
      <c r="CA486" s="554"/>
      <c r="CB486" s="554"/>
      <c r="CC486" s="554"/>
      <c r="CD486" s="554"/>
      <c r="CE486" s="554"/>
      <c r="CF486" s="554"/>
      <c r="CG486" s="554"/>
      <c r="CH486" s="554"/>
      <c r="CI486" s="554"/>
      <c r="CJ486" s="554"/>
      <c r="CK486" s="554"/>
      <c r="CL486" s="554"/>
      <c r="CM486" s="554"/>
      <c r="CN486" s="554"/>
      <c r="CO486" s="554"/>
      <c r="CP486" s="554"/>
      <c r="CQ486" s="554"/>
      <c r="CR486" s="554"/>
      <c r="CS486" s="554"/>
      <c r="CT486" s="554"/>
      <c r="CU486" s="554"/>
      <c r="CV486" s="554"/>
      <c r="CW486" s="554"/>
      <c r="CX486" s="554"/>
      <c r="CY486" s="554"/>
      <c r="CZ486" s="554"/>
      <c r="DA486" s="554"/>
      <c r="DB486" s="554"/>
      <c r="DC486" s="554"/>
      <c r="DD486" s="554"/>
      <c r="DE486" s="534"/>
      <c r="DF486" s="534"/>
      <c r="DG486" s="534"/>
    </row>
    <row r="487" spans="1:111" ht="15" hidden="1" x14ac:dyDescent="0.25">
      <c r="A487" s="549" t="str">
        <f>IFERROR(IF(INDEX('Weather Cases'!$E$10:$E$94,MATCH('Load Criteria'!X487,'Weather Cases'!$H$10:$H$94,0),1)=1,1,"-"),"-")</f>
        <v>-</v>
      </c>
      <c r="B487" s="555" t="s">
        <v>558</v>
      </c>
      <c r="C487" s="556" t="str">
        <f>IF('Weather Cases'!$E$40=0,"","DC/SC")</f>
        <v>DC/SC</v>
      </c>
      <c r="D487" s="556" t="s">
        <v>591</v>
      </c>
      <c r="E487" s="556" t="s">
        <v>22</v>
      </c>
      <c r="F487" s="556" t="s">
        <v>22</v>
      </c>
      <c r="G487" s="556" t="str">
        <f>IFERROR(IF(MID('Load Criteria'!X487,FIND("_",'Load Criteria'!X487,1)+1,1)=LEFT(Control!$D$23,1),"YES","-"),"-")</f>
        <v>-</v>
      </c>
      <c r="H487" s="549" t="s">
        <v>22</v>
      </c>
      <c r="I487" s="557" t="s">
        <v>383</v>
      </c>
      <c r="J487" s="508" t="s">
        <v>300</v>
      </c>
      <c r="K487" s="508"/>
      <c r="L487" s="508"/>
      <c r="M487" s="508"/>
      <c r="N487" s="508"/>
      <c r="O487" s="508"/>
      <c r="P487" s="395"/>
      <c r="Q487" s="395"/>
      <c r="R487" s="395"/>
      <c r="S487" s="395"/>
      <c r="T487" s="395"/>
      <c r="U487" s="255" t="s">
        <v>574</v>
      </c>
      <c r="V487" s="551"/>
      <c r="W487" s="542" t="str">
        <f t="shared" ref="W487:W489" si="842">X487&amp;"+"&amp;K487&amp;IF(L487="","",CONCATENATE(L487,M487,N487,O487))&amp;" "&amp;U487</f>
        <v>-+ NA-</v>
      </c>
      <c r="X487" s="552" t="str">
        <f t="shared" ref="X487:X489" si="843">X483</f>
        <v>-</v>
      </c>
      <c r="Y487" s="552" t="s">
        <v>433</v>
      </c>
      <c r="Z487" s="552" t="str">
        <f t="shared" ref="Z487:Z489" si="844">U487</f>
        <v>NA-</v>
      </c>
      <c r="AA487" s="552"/>
      <c r="AB487" s="552">
        <v>1</v>
      </c>
      <c r="AC487" s="552">
        <v>1</v>
      </c>
      <c r="AD487" s="552">
        <v>1</v>
      </c>
      <c r="AE487" s="552">
        <v>1</v>
      </c>
      <c r="AF487" s="552">
        <v>1</v>
      </c>
      <c r="AG487" s="542" t="s">
        <v>561</v>
      </c>
      <c r="AH487" s="552">
        <v>0</v>
      </c>
      <c r="AI487" s="552">
        <v>0</v>
      </c>
      <c r="AJ487" s="552">
        <v>1</v>
      </c>
      <c r="AK487" s="552">
        <v>1</v>
      </c>
      <c r="AL487" s="552">
        <v>1</v>
      </c>
      <c r="AM487" s="552">
        <v>0</v>
      </c>
      <c r="AN487" s="552">
        <v>0</v>
      </c>
      <c r="AO487" s="552">
        <v>1</v>
      </c>
      <c r="AP487" s="552">
        <v>1</v>
      </c>
      <c r="AQ487" s="552">
        <v>1</v>
      </c>
      <c r="AR487" s="552">
        <v>1</v>
      </c>
      <c r="AS487" s="552">
        <v>1</v>
      </c>
      <c r="AT487" s="552">
        <v>1</v>
      </c>
      <c r="AU487" s="552">
        <v>1</v>
      </c>
      <c r="AV487" s="553" t="str">
        <f>IF(H487="YES","'"&amp;INDEX('Structure Groups'!$C$12:$C$14,MATCH('Load Criteria'!$B$5,'Structure Groups'!$B$12:$B$14,0),1)&amp;"'","'All'")</f>
        <v>'All'</v>
      </c>
      <c r="AW487" s="552" t="s">
        <v>562</v>
      </c>
      <c r="AX487" s="552"/>
      <c r="AY487" s="552" t="str">
        <f t="shared" si="786"/>
        <v>No</v>
      </c>
      <c r="AZ487" s="554" t="str">
        <f t="shared" si="787"/>
        <v/>
      </c>
      <c r="BA487" s="554" t="str">
        <f t="shared" ref="BA487:BA489" si="845">IF(AZ487="","","Broken Wire (# Broken Subconductors)")</f>
        <v/>
      </c>
      <c r="BB487" s="552" t="str">
        <f t="shared" ref="BB487:BB489" si="846">IF(AZ487="","",4)</f>
        <v/>
      </c>
      <c r="BC487" s="554" t="str">
        <f t="shared" si="789"/>
        <v/>
      </c>
      <c r="BD487" s="554" t="str">
        <f t="shared" ref="BD487:BD489" si="847">IF(BC487="","","Broken Wire (# Broken Subconductors)")</f>
        <v/>
      </c>
      <c r="BE487" s="552" t="str">
        <f t="shared" ref="BE487:BE489" si="848">IF(BC487="","",4)</f>
        <v/>
      </c>
      <c r="BF487" s="554" t="str">
        <f t="shared" si="791"/>
        <v/>
      </c>
      <c r="BG487" s="554" t="str">
        <f t="shared" ref="BG487:BG489" si="849">IF(BF487="","","Broken Wire (# Broken Subconductors)")</f>
        <v/>
      </c>
      <c r="BH487" s="552" t="str">
        <f t="shared" ref="BH487:BH489" si="850">IF(BF487="","",4)</f>
        <v/>
      </c>
      <c r="BI487" s="554" t="str">
        <f t="shared" si="793"/>
        <v/>
      </c>
      <c r="BJ487" s="554" t="str">
        <f t="shared" ref="BJ487:BJ489" si="851">IF(BI487="","","Broken Wire (# Broken Subconductors)")</f>
        <v/>
      </c>
      <c r="BK487" s="552" t="str">
        <f t="shared" ref="BK487:BK489" si="852">IF(BI487="","",4)</f>
        <v/>
      </c>
      <c r="BL487" s="554" t="str">
        <f t="shared" si="795"/>
        <v/>
      </c>
      <c r="BM487" s="554" t="str">
        <f t="shared" ref="BM487:BM489" si="853">IF(BL487="","","Broken Wire (# Broken Subconductors)")</f>
        <v/>
      </c>
      <c r="BN487" s="552" t="str">
        <f t="shared" ref="BN487:BN489" si="854">IF(BL487="","",4)</f>
        <v/>
      </c>
      <c r="BO487" s="554" t="str">
        <f t="shared" si="797"/>
        <v/>
      </c>
      <c r="BP487" s="554" t="str">
        <f t="shared" ref="BP487:BP489" si="855">IF(BO487="","","Broken Wire (# Broken Subconductors)")</f>
        <v/>
      </c>
      <c r="BQ487" s="552" t="str">
        <f t="shared" ref="BQ487:BQ489" si="856">IF(BO487="","",4)</f>
        <v/>
      </c>
      <c r="BR487" s="554"/>
      <c r="BS487" s="554"/>
      <c r="BT487" s="554"/>
      <c r="BU487" s="554"/>
      <c r="BV487" s="554"/>
      <c r="BW487" s="554"/>
      <c r="BX487" s="554"/>
      <c r="BY487" s="554"/>
      <c r="BZ487" s="554"/>
      <c r="CA487" s="554"/>
      <c r="CB487" s="554"/>
      <c r="CC487" s="554"/>
      <c r="CD487" s="554"/>
      <c r="CE487" s="554"/>
      <c r="CF487" s="554"/>
      <c r="CG487" s="554"/>
      <c r="CH487" s="554"/>
      <c r="CI487" s="554"/>
      <c r="CJ487" s="554"/>
      <c r="CK487" s="554"/>
      <c r="CL487" s="554"/>
      <c r="CM487" s="554"/>
      <c r="CN487" s="554"/>
      <c r="CO487" s="554"/>
      <c r="CP487" s="554"/>
      <c r="CQ487" s="554"/>
      <c r="CR487" s="554"/>
      <c r="CS487" s="554"/>
      <c r="CT487" s="554"/>
      <c r="CU487" s="554"/>
      <c r="CV487" s="554"/>
      <c r="CW487" s="554"/>
      <c r="CX487" s="554"/>
      <c r="CY487" s="554"/>
      <c r="CZ487" s="554"/>
      <c r="DA487" s="554"/>
      <c r="DB487" s="554"/>
      <c r="DC487" s="554"/>
      <c r="DD487" s="554"/>
      <c r="DE487" s="534"/>
      <c r="DF487" s="534"/>
      <c r="DG487" s="534"/>
    </row>
    <row r="488" spans="1:111" ht="15" hidden="1" x14ac:dyDescent="0.25">
      <c r="A488" s="549" t="str">
        <f>IFERROR(IF(INDEX('Weather Cases'!$E$10:$E$94,MATCH('Load Criteria'!X488,'Weather Cases'!$H$10:$H$94,0),1)=1,1,"-"),"-")</f>
        <v>-</v>
      </c>
      <c r="B488" s="555" t="s">
        <v>558</v>
      </c>
      <c r="C488" s="556" t="str">
        <f>IF('Weather Cases'!$E$40=0,"","DC/SC")</f>
        <v>DC/SC</v>
      </c>
      <c r="D488" s="556" t="s">
        <v>591</v>
      </c>
      <c r="E488" s="556" t="s">
        <v>22</v>
      </c>
      <c r="F488" s="556" t="s">
        <v>22</v>
      </c>
      <c r="G488" s="556" t="str">
        <f>IFERROR(IF(MID('Load Criteria'!X488,FIND("_",'Load Criteria'!X488,1)+1,1)=LEFT(Control!$D$23,1),"YES","-"),"-")</f>
        <v>-</v>
      </c>
      <c r="H488" s="549" t="s">
        <v>22</v>
      </c>
      <c r="I488" s="557" t="s">
        <v>383</v>
      </c>
      <c r="J488" s="508" t="s">
        <v>300</v>
      </c>
      <c r="K488" s="508"/>
      <c r="L488" s="508"/>
      <c r="M488" s="508"/>
      <c r="N488" s="508"/>
      <c r="O488" s="508"/>
      <c r="P488" s="395"/>
      <c r="Q488" s="395"/>
      <c r="R488" s="395"/>
      <c r="S488" s="395"/>
      <c r="T488" s="395"/>
      <c r="U488" s="255" t="s">
        <v>574</v>
      </c>
      <c r="V488" s="551"/>
      <c r="W488" s="542" t="str">
        <f t="shared" si="842"/>
        <v>-+ NA-</v>
      </c>
      <c r="X488" s="552" t="str">
        <f t="shared" si="843"/>
        <v>-</v>
      </c>
      <c r="Y488" s="552" t="s">
        <v>433</v>
      </c>
      <c r="Z488" s="552" t="str">
        <f t="shared" si="844"/>
        <v>NA-</v>
      </c>
      <c r="AA488" s="552"/>
      <c r="AB488" s="552">
        <v>1</v>
      </c>
      <c r="AC488" s="552">
        <v>1</v>
      </c>
      <c r="AD488" s="552">
        <v>1</v>
      </c>
      <c r="AE488" s="552">
        <v>1</v>
      </c>
      <c r="AF488" s="552">
        <v>1</v>
      </c>
      <c r="AG488" s="542" t="s">
        <v>561</v>
      </c>
      <c r="AH488" s="552">
        <v>0</v>
      </c>
      <c r="AI488" s="552">
        <v>0</v>
      </c>
      <c r="AJ488" s="552">
        <v>1</v>
      </c>
      <c r="AK488" s="552">
        <v>1</v>
      </c>
      <c r="AL488" s="552">
        <v>1</v>
      </c>
      <c r="AM488" s="552">
        <v>0</v>
      </c>
      <c r="AN488" s="552">
        <v>0</v>
      </c>
      <c r="AO488" s="552">
        <v>1</v>
      </c>
      <c r="AP488" s="552">
        <v>1</v>
      </c>
      <c r="AQ488" s="552">
        <v>1</v>
      </c>
      <c r="AR488" s="552">
        <v>1</v>
      </c>
      <c r="AS488" s="552">
        <v>1</v>
      </c>
      <c r="AT488" s="552">
        <v>1</v>
      </c>
      <c r="AU488" s="552">
        <v>1</v>
      </c>
      <c r="AV488" s="553" t="str">
        <f>IF(H488="YES","'"&amp;INDEX('Structure Groups'!$C$12:$C$14,MATCH('Load Criteria'!$B$5,'Structure Groups'!$B$12:$B$14,0),1)&amp;"'","'All'")</f>
        <v>'All'</v>
      </c>
      <c r="AW488" s="552" t="s">
        <v>562</v>
      </c>
      <c r="AX488" s="552"/>
      <c r="AY488" s="552" t="str">
        <f t="shared" si="786"/>
        <v>No</v>
      </c>
      <c r="AZ488" s="554" t="str">
        <f t="shared" si="787"/>
        <v/>
      </c>
      <c r="BA488" s="554" t="str">
        <f t="shared" si="845"/>
        <v/>
      </c>
      <c r="BB488" s="552" t="str">
        <f t="shared" si="846"/>
        <v/>
      </c>
      <c r="BC488" s="554" t="str">
        <f t="shared" si="789"/>
        <v/>
      </c>
      <c r="BD488" s="554" t="str">
        <f t="shared" si="847"/>
        <v/>
      </c>
      <c r="BE488" s="552" t="str">
        <f t="shared" si="848"/>
        <v/>
      </c>
      <c r="BF488" s="554" t="str">
        <f t="shared" si="791"/>
        <v/>
      </c>
      <c r="BG488" s="554" t="str">
        <f t="shared" si="849"/>
        <v/>
      </c>
      <c r="BH488" s="552" t="str">
        <f t="shared" si="850"/>
        <v/>
      </c>
      <c r="BI488" s="554" t="str">
        <f t="shared" si="793"/>
        <v/>
      </c>
      <c r="BJ488" s="554" t="str">
        <f t="shared" si="851"/>
        <v/>
      </c>
      <c r="BK488" s="552" t="str">
        <f t="shared" si="852"/>
        <v/>
      </c>
      <c r="BL488" s="554" t="str">
        <f t="shared" si="795"/>
        <v/>
      </c>
      <c r="BM488" s="554" t="str">
        <f t="shared" si="853"/>
        <v/>
      </c>
      <c r="BN488" s="552" t="str">
        <f t="shared" si="854"/>
        <v/>
      </c>
      <c r="BO488" s="554" t="str">
        <f t="shared" si="797"/>
        <v/>
      </c>
      <c r="BP488" s="554" t="str">
        <f t="shared" si="855"/>
        <v/>
      </c>
      <c r="BQ488" s="552" t="str">
        <f t="shared" si="856"/>
        <v/>
      </c>
      <c r="BR488" s="554"/>
      <c r="BS488" s="554"/>
      <c r="BT488" s="554"/>
      <c r="BU488" s="554"/>
      <c r="BV488" s="554"/>
      <c r="BW488" s="554"/>
      <c r="BX488" s="554"/>
      <c r="BY488" s="554"/>
      <c r="BZ488" s="554"/>
      <c r="CA488" s="554"/>
      <c r="CB488" s="554"/>
      <c r="CC488" s="554"/>
      <c r="CD488" s="554"/>
      <c r="CE488" s="554"/>
      <c r="CF488" s="554"/>
      <c r="CG488" s="554"/>
      <c r="CH488" s="554"/>
      <c r="CI488" s="554"/>
      <c r="CJ488" s="554"/>
      <c r="CK488" s="554"/>
      <c r="CL488" s="554"/>
      <c r="CM488" s="554"/>
      <c r="CN488" s="554"/>
      <c r="CO488" s="554"/>
      <c r="CP488" s="554"/>
      <c r="CQ488" s="554"/>
      <c r="CR488" s="554"/>
      <c r="CS488" s="554"/>
      <c r="CT488" s="554"/>
      <c r="CU488" s="554"/>
      <c r="CV488" s="554"/>
      <c r="CW488" s="554"/>
      <c r="CX488" s="554"/>
      <c r="CY488" s="554"/>
      <c r="CZ488" s="554"/>
      <c r="DA488" s="554"/>
      <c r="DB488" s="554"/>
      <c r="DC488" s="554"/>
      <c r="DD488" s="554"/>
      <c r="DE488" s="534"/>
      <c r="DF488" s="534"/>
      <c r="DG488" s="534"/>
    </row>
    <row r="489" spans="1:111" ht="15" hidden="1" x14ac:dyDescent="0.25">
      <c r="A489" s="549" t="str">
        <f>IFERROR(IF(INDEX('Weather Cases'!$E$10:$E$94,MATCH('Load Criteria'!X489,'Weather Cases'!$H$10:$H$94,0),1)=1,1,"-"),"-")</f>
        <v>-</v>
      </c>
      <c r="B489" s="555" t="s">
        <v>558</v>
      </c>
      <c r="C489" s="556" t="str">
        <f>IF('Weather Cases'!$E$40=0,"","DC/SC")</f>
        <v>DC/SC</v>
      </c>
      <c r="D489" s="556" t="s">
        <v>591</v>
      </c>
      <c r="E489" s="556" t="s">
        <v>22</v>
      </c>
      <c r="F489" s="556" t="s">
        <v>22</v>
      </c>
      <c r="G489" s="556" t="str">
        <f>IFERROR(IF(MID('Load Criteria'!X489,FIND("_",'Load Criteria'!X489,1)+1,1)=LEFT(Control!$D$23,1),"YES","-"),"-")</f>
        <v>-</v>
      </c>
      <c r="H489" s="549" t="s">
        <v>22</v>
      </c>
      <c r="I489" s="557" t="s">
        <v>383</v>
      </c>
      <c r="J489" s="508" t="s">
        <v>300</v>
      </c>
      <c r="K489" s="508"/>
      <c r="L489" s="508"/>
      <c r="M489" s="508"/>
      <c r="N489" s="508"/>
      <c r="O489" s="508"/>
      <c r="P489" s="395"/>
      <c r="Q489" s="395"/>
      <c r="R489" s="395"/>
      <c r="S489" s="395"/>
      <c r="T489" s="395"/>
      <c r="U489" s="255" t="s">
        <v>574</v>
      </c>
      <c r="V489" s="551"/>
      <c r="W489" s="542" t="str">
        <f t="shared" si="842"/>
        <v>-+ NA-</v>
      </c>
      <c r="X489" s="552" t="str">
        <f t="shared" si="843"/>
        <v>-</v>
      </c>
      <c r="Y489" s="552" t="s">
        <v>433</v>
      </c>
      <c r="Z489" s="552" t="str">
        <f t="shared" si="844"/>
        <v>NA-</v>
      </c>
      <c r="AA489" s="552"/>
      <c r="AB489" s="552">
        <v>1</v>
      </c>
      <c r="AC489" s="552">
        <v>1</v>
      </c>
      <c r="AD489" s="552">
        <v>1</v>
      </c>
      <c r="AE489" s="552">
        <v>1</v>
      </c>
      <c r="AF489" s="552">
        <v>1</v>
      </c>
      <c r="AG489" s="542" t="s">
        <v>561</v>
      </c>
      <c r="AH489" s="552">
        <v>0</v>
      </c>
      <c r="AI489" s="552">
        <v>0</v>
      </c>
      <c r="AJ489" s="552">
        <v>1</v>
      </c>
      <c r="AK489" s="552">
        <v>1</v>
      </c>
      <c r="AL489" s="552">
        <v>1</v>
      </c>
      <c r="AM489" s="552">
        <v>0</v>
      </c>
      <c r="AN489" s="552">
        <v>0</v>
      </c>
      <c r="AO489" s="552">
        <v>1</v>
      </c>
      <c r="AP489" s="552">
        <v>1</v>
      </c>
      <c r="AQ489" s="552">
        <v>1</v>
      </c>
      <c r="AR489" s="552">
        <v>1</v>
      </c>
      <c r="AS489" s="552">
        <v>1</v>
      </c>
      <c r="AT489" s="552">
        <v>1</v>
      </c>
      <c r="AU489" s="552"/>
      <c r="AV489" s="553" t="str">
        <f>IF(H489="YES","'"&amp;INDEX('Structure Groups'!$C$12:$C$14,MATCH('Load Criteria'!$B$5,'Structure Groups'!$B$12:$B$14,0),1)&amp;"'","'All'")</f>
        <v>'All'</v>
      </c>
      <c r="AW489" s="552" t="s">
        <v>562</v>
      </c>
      <c r="AX489" s="552"/>
      <c r="AY489" s="552" t="str">
        <f t="shared" si="786"/>
        <v>No</v>
      </c>
      <c r="AZ489" s="554" t="str">
        <f t="shared" si="787"/>
        <v/>
      </c>
      <c r="BA489" s="554" t="str">
        <f t="shared" si="845"/>
        <v/>
      </c>
      <c r="BB489" s="552" t="str">
        <f t="shared" si="846"/>
        <v/>
      </c>
      <c r="BC489" s="554" t="str">
        <f t="shared" si="789"/>
        <v/>
      </c>
      <c r="BD489" s="554" t="str">
        <f t="shared" si="847"/>
        <v/>
      </c>
      <c r="BE489" s="552" t="str">
        <f t="shared" si="848"/>
        <v/>
      </c>
      <c r="BF489" s="554" t="str">
        <f t="shared" si="791"/>
        <v/>
      </c>
      <c r="BG489" s="554" t="str">
        <f t="shared" si="849"/>
        <v/>
      </c>
      <c r="BH489" s="552" t="str">
        <f t="shared" si="850"/>
        <v/>
      </c>
      <c r="BI489" s="554" t="str">
        <f t="shared" si="793"/>
        <v/>
      </c>
      <c r="BJ489" s="554" t="str">
        <f t="shared" si="851"/>
        <v/>
      </c>
      <c r="BK489" s="552" t="str">
        <f t="shared" si="852"/>
        <v/>
      </c>
      <c r="BL489" s="554" t="str">
        <f t="shared" si="795"/>
        <v/>
      </c>
      <c r="BM489" s="554" t="str">
        <f t="shared" si="853"/>
        <v/>
      </c>
      <c r="BN489" s="552" t="str">
        <f t="shared" si="854"/>
        <v/>
      </c>
      <c r="BO489" s="554" t="str">
        <f t="shared" si="797"/>
        <v/>
      </c>
      <c r="BP489" s="554" t="str">
        <f t="shared" si="855"/>
        <v/>
      </c>
      <c r="BQ489" s="552" t="str">
        <f t="shared" si="856"/>
        <v/>
      </c>
      <c r="BR489" s="554"/>
      <c r="BS489" s="554"/>
      <c r="BT489" s="554"/>
      <c r="BU489" s="554"/>
      <c r="BV489" s="554"/>
      <c r="BW489" s="554"/>
      <c r="BX489" s="554"/>
      <c r="BY489" s="554"/>
      <c r="BZ489" s="554"/>
      <c r="CA489" s="554"/>
      <c r="CB489" s="554"/>
      <c r="CC489" s="554"/>
      <c r="CD489" s="554"/>
      <c r="CE489" s="554"/>
      <c r="CF489" s="554"/>
      <c r="CG489" s="554"/>
      <c r="CH489" s="554"/>
      <c r="CI489" s="554"/>
      <c r="CJ489" s="554"/>
      <c r="CK489" s="554"/>
      <c r="CL489" s="554"/>
      <c r="CM489" s="554"/>
      <c r="CN489" s="554"/>
      <c r="CO489" s="554"/>
      <c r="CP489" s="554"/>
      <c r="CQ489" s="554"/>
      <c r="CR489" s="554"/>
      <c r="CS489" s="554"/>
      <c r="CT489" s="554"/>
      <c r="CU489" s="554"/>
      <c r="CV489" s="554"/>
      <c r="CW489" s="554"/>
      <c r="CX489" s="554"/>
      <c r="CY489" s="554"/>
      <c r="CZ489" s="554"/>
      <c r="DA489" s="554"/>
      <c r="DB489" s="554"/>
      <c r="DC489" s="554"/>
      <c r="DD489" s="554"/>
      <c r="DE489" s="534"/>
      <c r="DF489" s="534"/>
      <c r="DG489" s="534"/>
    </row>
    <row r="490" spans="1:111" ht="15" x14ac:dyDescent="0.25">
      <c r="A490" s="549">
        <f>IFERROR(IF(INDEX('Weather Cases'!$E$10:$E$94,MATCH('Load Criteria'!X490,'Weather Cases'!$H$10:$H$94,0),1)=1,1,"-"),"-")</f>
        <v>1</v>
      </c>
      <c r="B490" s="555" t="s">
        <v>558</v>
      </c>
      <c r="C490" s="556" t="str">
        <f>IF('Weather Cases'!$E$40=0,"","DC/SC")</f>
        <v>DC/SC</v>
      </c>
      <c r="D490" s="556" t="s">
        <v>591</v>
      </c>
      <c r="E490" s="556" t="s">
        <v>22</v>
      </c>
      <c r="F490" s="556" t="s">
        <v>22</v>
      </c>
      <c r="G490" s="556" t="str">
        <f>IFERROR(IF(MID('Load Criteria'!X490,FIND("_",'Load Criteria'!X490,1)+1,1)=LEFT(Control!$D$23,1),"YES","-"),"-")</f>
        <v>-</v>
      </c>
      <c r="H490" s="549" t="s">
        <v>22</v>
      </c>
      <c r="I490" s="557" t="s">
        <v>594</v>
      </c>
      <c r="J490" s="508" t="s">
        <v>300</v>
      </c>
      <c r="K490" s="508"/>
      <c r="L490" s="508"/>
      <c r="M490" s="508"/>
      <c r="N490" s="508"/>
      <c r="O490" s="508"/>
      <c r="P490" s="395"/>
      <c r="Q490" s="395"/>
      <c r="R490" s="395"/>
      <c r="S490" s="395"/>
      <c r="T490" s="395"/>
      <c r="U490" s="255" t="s">
        <v>568</v>
      </c>
      <c r="V490" s="551"/>
      <c r="W490" s="542" t="str">
        <f>X490&amp;"+"&amp;K490&amp;IF(L490="","",CONCATENATE(L490,M490,N490,O490))&amp;" "&amp;U490</f>
        <v>MOT_120+ NA+</v>
      </c>
      <c r="X490" s="552" t="str">
        <f>'Weather Cases'!H60</f>
        <v>MOT_120</v>
      </c>
      <c r="Y490" s="552" t="s">
        <v>433</v>
      </c>
      <c r="Z490" s="552" t="str">
        <f>U490</f>
        <v>NA+</v>
      </c>
      <c r="AA490" s="552"/>
      <c r="AB490" s="552">
        <v>1</v>
      </c>
      <c r="AC490" s="552">
        <v>1</v>
      </c>
      <c r="AD490" s="552">
        <v>1</v>
      </c>
      <c r="AE490" s="552">
        <v>1</v>
      </c>
      <c r="AF490" s="552">
        <v>1</v>
      </c>
      <c r="AG490" s="542" t="s">
        <v>561</v>
      </c>
      <c r="AH490" s="552">
        <v>0</v>
      </c>
      <c r="AI490" s="552">
        <v>0</v>
      </c>
      <c r="AJ490" s="552">
        <v>1</v>
      </c>
      <c r="AK490" s="552">
        <v>1</v>
      </c>
      <c r="AL490" s="552">
        <v>1</v>
      </c>
      <c r="AM490" s="552">
        <v>0</v>
      </c>
      <c r="AN490" s="552">
        <v>0</v>
      </c>
      <c r="AO490" s="552">
        <v>1</v>
      </c>
      <c r="AP490" s="552">
        <v>1</v>
      </c>
      <c r="AQ490" s="552">
        <v>1</v>
      </c>
      <c r="AR490" s="552">
        <v>1</v>
      </c>
      <c r="AS490" s="552">
        <v>1</v>
      </c>
      <c r="AT490" s="552">
        <v>1</v>
      </c>
      <c r="AU490" s="552">
        <v>1</v>
      </c>
      <c r="AV490" s="553" t="str">
        <f>IF(H490="YES","'"&amp;INDEX('Structure Groups'!$C$12:$C$14,MATCH('Load Criteria'!$B$5,'Structure Groups'!$B$12:$B$14,0),1)&amp;"'","'All'")</f>
        <v>'All'</v>
      </c>
      <c r="AW490" s="552" t="s">
        <v>562</v>
      </c>
      <c r="AX490" s="552"/>
      <c r="AY490" s="552" t="str">
        <f t="shared" si="786"/>
        <v>No</v>
      </c>
      <c r="AZ490" s="554"/>
      <c r="BA490" s="554"/>
      <c r="BB490" s="552"/>
      <c r="BC490" s="554"/>
      <c r="BD490" s="554"/>
      <c r="BE490" s="552"/>
      <c r="BF490" s="554"/>
      <c r="BG490" s="554"/>
      <c r="BH490" s="552"/>
      <c r="BI490" s="554"/>
      <c r="BJ490" s="554"/>
      <c r="BK490" s="552"/>
      <c r="BL490" s="554"/>
      <c r="BM490" s="554"/>
      <c r="BN490" s="552"/>
      <c r="BO490" s="554"/>
      <c r="BP490" s="554"/>
      <c r="BQ490" s="552"/>
      <c r="BR490" s="554"/>
      <c r="BS490" s="554"/>
      <c r="BT490" s="554"/>
      <c r="BU490" s="554"/>
      <c r="BV490" s="554"/>
      <c r="BW490" s="554"/>
      <c r="BX490" s="554"/>
      <c r="BY490" s="554"/>
      <c r="BZ490" s="554"/>
      <c r="CA490" s="554"/>
      <c r="CB490" s="554"/>
      <c r="CC490" s="554"/>
      <c r="CD490" s="554"/>
      <c r="CE490" s="554"/>
      <c r="CF490" s="554"/>
      <c r="CG490" s="554"/>
      <c r="CH490" s="554"/>
      <c r="CI490" s="554"/>
      <c r="CJ490" s="554"/>
      <c r="CK490" s="554"/>
      <c r="CL490" s="554"/>
      <c r="CM490" s="554"/>
      <c r="CN490" s="554"/>
      <c r="CO490" s="554"/>
      <c r="CP490" s="554"/>
      <c r="CQ490" s="554"/>
      <c r="CR490" s="554"/>
      <c r="CS490" s="554"/>
      <c r="CT490" s="554"/>
      <c r="CU490" s="554"/>
      <c r="CV490" s="554"/>
      <c r="CW490" s="554"/>
      <c r="CX490" s="554"/>
      <c r="CY490" s="554"/>
      <c r="CZ490" s="554"/>
      <c r="DA490" s="554"/>
      <c r="DB490" s="554"/>
      <c r="DC490" s="554"/>
      <c r="DD490" s="554"/>
      <c r="DE490" s="534"/>
      <c r="DF490" s="534"/>
      <c r="DG490" s="534"/>
    </row>
    <row r="491" spans="1:111" ht="15" hidden="1" x14ac:dyDescent="0.25">
      <c r="A491" s="549" t="str">
        <f>IFERROR(IF(INDEX('Weather Cases'!$E$10:$E$94,MATCH('Load Criteria'!X491,'Weather Cases'!$H$10:$H$94,0),1)=1,1,"-"),"-")</f>
        <v>-</v>
      </c>
      <c r="B491" s="555" t="s">
        <v>558</v>
      </c>
      <c r="C491" s="556" t="str">
        <f>IF('Weather Cases'!$E$40=0,"","DC/SC")</f>
        <v>DC/SC</v>
      </c>
      <c r="D491" s="556" t="s">
        <v>591</v>
      </c>
      <c r="E491" s="556" t="s">
        <v>22</v>
      </c>
      <c r="F491" s="556" t="s">
        <v>22</v>
      </c>
      <c r="G491" s="556" t="str">
        <f>IFERROR(IF(MID('Load Criteria'!X491,FIND("_",'Load Criteria'!X491,1)+1,1)=LEFT(Control!$D$23,1),"YES","-"),"-")</f>
        <v>-</v>
      </c>
      <c r="H491" s="549" t="s">
        <v>22</v>
      </c>
      <c r="I491" s="557" t="s">
        <v>594</v>
      </c>
      <c r="J491" s="508" t="s">
        <v>300</v>
      </c>
      <c r="K491" s="508"/>
      <c r="L491" s="508"/>
      <c r="M491" s="508"/>
      <c r="N491" s="508"/>
      <c r="O491" s="508"/>
      <c r="P491" s="395"/>
      <c r="Q491" s="395"/>
      <c r="R491" s="395"/>
      <c r="S491" s="395"/>
      <c r="T491" s="395"/>
      <c r="U491" s="255" t="s">
        <v>568</v>
      </c>
      <c r="V491" s="551"/>
      <c r="W491" s="542" t="str">
        <f>X491&amp;"+"&amp;K491&amp;IF(L491="","",CONCATENATE(L491,M491,N491,O491))&amp;" "&amp;U491</f>
        <v>-+ NA+</v>
      </c>
      <c r="X491" s="552" t="str">
        <f>'Weather Cases'!H61</f>
        <v>-</v>
      </c>
      <c r="Y491" s="552" t="s">
        <v>433</v>
      </c>
      <c r="Z491" s="552" t="str">
        <f t="shared" ref="Z491:Z493" si="857">U491</f>
        <v>NA+</v>
      </c>
      <c r="AA491" s="552"/>
      <c r="AB491" s="552">
        <v>1</v>
      </c>
      <c r="AC491" s="552">
        <v>1</v>
      </c>
      <c r="AD491" s="552">
        <v>1</v>
      </c>
      <c r="AE491" s="552">
        <v>1</v>
      </c>
      <c r="AF491" s="552">
        <v>1</v>
      </c>
      <c r="AG491" s="542" t="s">
        <v>561</v>
      </c>
      <c r="AH491" s="552">
        <v>0</v>
      </c>
      <c r="AI491" s="552">
        <v>0</v>
      </c>
      <c r="AJ491" s="552">
        <v>1</v>
      </c>
      <c r="AK491" s="552">
        <v>1</v>
      </c>
      <c r="AL491" s="552">
        <v>1</v>
      </c>
      <c r="AM491" s="552">
        <v>0</v>
      </c>
      <c r="AN491" s="552">
        <v>0</v>
      </c>
      <c r="AO491" s="552">
        <v>1</v>
      </c>
      <c r="AP491" s="552">
        <v>1</v>
      </c>
      <c r="AQ491" s="552">
        <v>1</v>
      </c>
      <c r="AR491" s="552">
        <v>1</v>
      </c>
      <c r="AS491" s="552">
        <v>1</v>
      </c>
      <c r="AT491" s="552">
        <v>1</v>
      </c>
      <c r="AU491" s="552">
        <v>1</v>
      </c>
      <c r="AV491" s="553" t="str">
        <f>IF(H491="YES","'"&amp;INDEX('Structure Groups'!$C$12:$C$14,MATCH('Load Criteria'!$B$5,'Structure Groups'!$B$12:$B$14,0),1)&amp;"'","'All'")</f>
        <v>'All'</v>
      </c>
      <c r="AW491" s="552" t="s">
        <v>562</v>
      </c>
      <c r="AX491" s="552"/>
      <c r="AY491" s="552" t="str">
        <f t="shared" si="786"/>
        <v>No</v>
      </c>
      <c r="AZ491" s="554"/>
      <c r="BA491" s="554"/>
      <c r="BB491" s="552"/>
      <c r="BC491" s="554"/>
      <c r="BD491" s="554"/>
      <c r="BE491" s="552"/>
      <c r="BF491" s="554"/>
      <c r="BG491" s="554"/>
      <c r="BH491" s="552"/>
      <c r="BI491" s="554"/>
      <c r="BJ491" s="554"/>
      <c r="BK491" s="552"/>
      <c r="BL491" s="554"/>
      <c r="BM491" s="554"/>
      <c r="BN491" s="552"/>
      <c r="BO491" s="554"/>
      <c r="BP491" s="554"/>
      <c r="BQ491" s="552"/>
      <c r="BR491" s="554"/>
      <c r="BS491" s="554"/>
      <c r="BT491" s="554"/>
      <c r="BU491" s="554"/>
      <c r="BV491" s="554"/>
      <c r="BW491" s="554"/>
      <c r="BX491" s="554"/>
      <c r="BY491" s="554"/>
      <c r="BZ491" s="554"/>
      <c r="CA491" s="554"/>
      <c r="CB491" s="554"/>
      <c r="CC491" s="554"/>
      <c r="CD491" s="554"/>
      <c r="CE491" s="554"/>
      <c r="CF491" s="554"/>
      <c r="CG491" s="554"/>
      <c r="CH491" s="554"/>
      <c r="CI491" s="554"/>
      <c r="CJ491" s="554"/>
      <c r="CK491" s="554"/>
      <c r="CL491" s="554"/>
      <c r="CM491" s="554"/>
      <c r="CN491" s="554"/>
      <c r="CO491" s="554"/>
      <c r="CP491" s="554"/>
      <c r="CQ491" s="554"/>
      <c r="CR491" s="554"/>
      <c r="CS491" s="554"/>
      <c r="CT491" s="554"/>
      <c r="CU491" s="554"/>
      <c r="CV491" s="554"/>
      <c r="CW491" s="554"/>
      <c r="CX491" s="554"/>
      <c r="CY491" s="554"/>
      <c r="CZ491" s="554"/>
      <c r="DA491" s="554"/>
      <c r="DB491" s="554"/>
      <c r="DC491" s="554"/>
      <c r="DD491" s="554"/>
      <c r="DE491" s="534"/>
      <c r="DF491" s="534"/>
      <c r="DG491" s="534"/>
    </row>
    <row r="492" spans="1:111" ht="15" hidden="1" x14ac:dyDescent="0.25">
      <c r="A492" s="549" t="str">
        <f>IFERROR(IF(INDEX('Weather Cases'!$E$10:$E$94,MATCH('Load Criteria'!X492,'Weather Cases'!$H$10:$H$94,0),1)=1,1,"-"),"-")</f>
        <v>-</v>
      </c>
      <c r="B492" s="555" t="s">
        <v>558</v>
      </c>
      <c r="C492" s="556" t="str">
        <f>IF('Weather Cases'!$E$40=0,"","DC/SC")</f>
        <v>DC/SC</v>
      </c>
      <c r="D492" s="556" t="s">
        <v>591</v>
      </c>
      <c r="E492" s="556" t="s">
        <v>22</v>
      </c>
      <c r="F492" s="556" t="s">
        <v>22</v>
      </c>
      <c r="G492" s="556" t="str">
        <f>IFERROR(IF(MID('Load Criteria'!X492,FIND("_",'Load Criteria'!X492,1)+1,1)=LEFT(Control!$D$23,1),"YES","-"),"-")</f>
        <v>-</v>
      </c>
      <c r="H492" s="549" t="s">
        <v>22</v>
      </c>
      <c r="I492" s="557" t="s">
        <v>594</v>
      </c>
      <c r="J492" s="508" t="s">
        <v>300</v>
      </c>
      <c r="K492" s="508"/>
      <c r="L492" s="508"/>
      <c r="M492" s="508"/>
      <c r="N492" s="508"/>
      <c r="O492" s="508"/>
      <c r="P492" s="395"/>
      <c r="Q492" s="395"/>
      <c r="R492" s="395"/>
      <c r="S492" s="395"/>
      <c r="T492" s="395"/>
      <c r="U492" s="255" t="s">
        <v>568</v>
      </c>
      <c r="V492" s="551"/>
      <c r="W492" s="542" t="str">
        <f>X492&amp;"+"&amp;K492&amp;IF(L492="","",CONCATENATE(L492,M492,N492,O492))&amp;" "&amp;U492</f>
        <v>-+ NA+</v>
      </c>
      <c r="X492" s="552" t="str">
        <f>'Weather Cases'!H62</f>
        <v>-</v>
      </c>
      <c r="Y492" s="552" t="s">
        <v>433</v>
      </c>
      <c r="Z492" s="552" t="str">
        <f t="shared" si="857"/>
        <v>NA+</v>
      </c>
      <c r="AA492" s="552"/>
      <c r="AB492" s="552">
        <v>1</v>
      </c>
      <c r="AC492" s="552">
        <v>1</v>
      </c>
      <c r="AD492" s="552">
        <v>1</v>
      </c>
      <c r="AE492" s="552">
        <v>1</v>
      </c>
      <c r="AF492" s="552">
        <v>1</v>
      </c>
      <c r="AG492" s="542" t="s">
        <v>561</v>
      </c>
      <c r="AH492" s="552">
        <v>0</v>
      </c>
      <c r="AI492" s="552">
        <v>0</v>
      </c>
      <c r="AJ492" s="552">
        <v>1</v>
      </c>
      <c r="AK492" s="552">
        <v>1</v>
      </c>
      <c r="AL492" s="552">
        <v>1</v>
      </c>
      <c r="AM492" s="552">
        <v>0</v>
      </c>
      <c r="AN492" s="552">
        <v>0</v>
      </c>
      <c r="AO492" s="552">
        <v>1</v>
      </c>
      <c r="AP492" s="552">
        <v>1</v>
      </c>
      <c r="AQ492" s="552">
        <v>1</v>
      </c>
      <c r="AR492" s="552">
        <v>1</v>
      </c>
      <c r="AS492" s="552">
        <v>1</v>
      </c>
      <c r="AT492" s="552">
        <v>1</v>
      </c>
      <c r="AU492" s="552">
        <v>1</v>
      </c>
      <c r="AV492" s="553" t="str">
        <f>IF(H492="YES","'"&amp;INDEX('Structure Groups'!$C$12:$C$14,MATCH('Load Criteria'!$B$5,'Structure Groups'!$B$12:$B$14,0),1)&amp;"'","'All'")</f>
        <v>'All'</v>
      </c>
      <c r="AW492" s="552" t="s">
        <v>562</v>
      </c>
      <c r="AX492" s="552"/>
      <c r="AY492" s="552" t="str">
        <f t="shared" si="786"/>
        <v>No</v>
      </c>
      <c r="AZ492" s="554"/>
      <c r="BA492" s="554"/>
      <c r="BB492" s="552"/>
      <c r="BC492" s="554"/>
      <c r="BD492" s="554"/>
      <c r="BE492" s="552"/>
      <c r="BF492" s="554"/>
      <c r="BG492" s="554"/>
      <c r="BH492" s="552"/>
      <c r="BI492" s="554"/>
      <c r="BJ492" s="554"/>
      <c r="BK492" s="552"/>
      <c r="BL492" s="554"/>
      <c r="BM492" s="554"/>
      <c r="BN492" s="552"/>
      <c r="BO492" s="554"/>
      <c r="BP492" s="554"/>
      <c r="BQ492" s="552"/>
      <c r="BR492" s="554"/>
      <c r="BS492" s="554"/>
      <c r="BT492" s="554"/>
      <c r="BU492" s="554"/>
      <c r="BV492" s="554"/>
      <c r="BW492" s="554"/>
      <c r="BX492" s="554"/>
      <c r="BY492" s="554"/>
      <c r="BZ492" s="554"/>
      <c r="CA492" s="554"/>
      <c r="CB492" s="554"/>
      <c r="CC492" s="554"/>
      <c r="CD492" s="554"/>
      <c r="CE492" s="554"/>
      <c r="CF492" s="554"/>
      <c r="CG492" s="554"/>
      <c r="CH492" s="554"/>
      <c r="CI492" s="554"/>
      <c r="CJ492" s="554"/>
      <c r="CK492" s="554"/>
      <c r="CL492" s="554"/>
      <c r="CM492" s="554"/>
      <c r="CN492" s="554"/>
      <c r="CO492" s="554"/>
      <c r="CP492" s="554"/>
      <c r="CQ492" s="554"/>
      <c r="CR492" s="554"/>
      <c r="CS492" s="554"/>
      <c r="CT492" s="554"/>
      <c r="CU492" s="554"/>
      <c r="CV492" s="554"/>
      <c r="CW492" s="554"/>
      <c r="CX492" s="554"/>
      <c r="CY492" s="554"/>
      <c r="CZ492" s="554"/>
      <c r="DA492" s="554"/>
      <c r="DB492" s="554"/>
      <c r="DC492" s="554"/>
      <c r="DD492" s="554"/>
      <c r="DE492" s="534"/>
      <c r="DF492" s="534"/>
      <c r="DG492" s="534"/>
    </row>
    <row r="493" spans="1:111" ht="15" hidden="1" x14ac:dyDescent="0.25">
      <c r="A493" s="549" t="str">
        <f>IFERROR(IF(INDEX('Weather Cases'!$E$10:$E$94,MATCH('Load Criteria'!X493,'Weather Cases'!$H$10:$H$94,0),1)=1,1,"-"),"-")</f>
        <v>-</v>
      </c>
      <c r="B493" s="555" t="s">
        <v>558</v>
      </c>
      <c r="C493" s="556" t="str">
        <f>IF('Weather Cases'!$E$40=0,"","DC/SC")</f>
        <v>DC/SC</v>
      </c>
      <c r="D493" s="556" t="s">
        <v>591</v>
      </c>
      <c r="E493" s="556" t="s">
        <v>22</v>
      </c>
      <c r="F493" s="556" t="s">
        <v>22</v>
      </c>
      <c r="G493" s="556" t="str">
        <f>IFERROR(IF(MID('Load Criteria'!X493,FIND("_",'Load Criteria'!X493,1)+1,1)=LEFT(Control!$D$23,1),"YES","-"),"-")</f>
        <v>-</v>
      </c>
      <c r="H493" s="549" t="s">
        <v>22</v>
      </c>
      <c r="I493" s="557" t="s">
        <v>594</v>
      </c>
      <c r="J493" s="508" t="s">
        <v>300</v>
      </c>
      <c r="K493" s="508"/>
      <c r="L493" s="508"/>
      <c r="M493" s="508"/>
      <c r="N493" s="508"/>
      <c r="O493" s="508"/>
      <c r="P493" s="395"/>
      <c r="Q493" s="395"/>
      <c r="R493" s="395"/>
      <c r="S493" s="395"/>
      <c r="T493" s="395"/>
      <c r="U493" s="255" t="s">
        <v>568</v>
      </c>
      <c r="V493" s="551"/>
      <c r="W493" s="542" t="str">
        <f>X493&amp;"+"&amp;K493&amp;IF(L493="","",CONCATENATE(L493,M493,N493,O493))&amp;" "&amp;U493</f>
        <v>-+ NA+</v>
      </c>
      <c r="X493" s="552" t="str">
        <f>'Weather Cases'!H63</f>
        <v>-</v>
      </c>
      <c r="Y493" s="552" t="s">
        <v>433</v>
      </c>
      <c r="Z493" s="552" t="str">
        <f t="shared" si="857"/>
        <v>NA+</v>
      </c>
      <c r="AA493" s="552"/>
      <c r="AB493" s="552">
        <v>1</v>
      </c>
      <c r="AC493" s="552">
        <v>1</v>
      </c>
      <c r="AD493" s="552">
        <v>1</v>
      </c>
      <c r="AE493" s="552">
        <v>1</v>
      </c>
      <c r="AF493" s="552">
        <v>1</v>
      </c>
      <c r="AG493" s="542" t="s">
        <v>561</v>
      </c>
      <c r="AH493" s="552">
        <v>0</v>
      </c>
      <c r="AI493" s="552">
        <v>0</v>
      </c>
      <c r="AJ493" s="552">
        <v>1</v>
      </c>
      <c r="AK493" s="552">
        <v>1</v>
      </c>
      <c r="AL493" s="552">
        <v>1</v>
      </c>
      <c r="AM493" s="552">
        <v>0</v>
      </c>
      <c r="AN493" s="552">
        <v>0</v>
      </c>
      <c r="AO493" s="552">
        <v>1</v>
      </c>
      <c r="AP493" s="552">
        <v>1</v>
      </c>
      <c r="AQ493" s="552">
        <v>1</v>
      </c>
      <c r="AR493" s="552">
        <v>1</v>
      </c>
      <c r="AS493" s="552">
        <v>1</v>
      </c>
      <c r="AT493" s="552">
        <v>1</v>
      </c>
      <c r="AU493" s="552"/>
      <c r="AV493" s="553" t="str">
        <f>IF(H493="YES","'"&amp;INDEX('Structure Groups'!$C$12:$C$14,MATCH('Load Criteria'!$B$5,'Structure Groups'!$B$12:$B$14,0),1)&amp;"'","'All'")</f>
        <v>'All'</v>
      </c>
      <c r="AW493" s="552" t="s">
        <v>562</v>
      </c>
      <c r="AX493" s="552"/>
      <c r="AY493" s="552" t="str">
        <f t="shared" si="786"/>
        <v>No</v>
      </c>
      <c r="AZ493" s="554"/>
      <c r="BA493" s="554"/>
      <c r="BB493" s="552"/>
      <c r="BC493" s="554"/>
      <c r="BD493" s="554"/>
      <c r="BE493" s="552"/>
      <c r="BF493" s="554"/>
      <c r="BG493" s="554"/>
      <c r="BH493" s="552"/>
      <c r="BI493" s="554"/>
      <c r="BJ493" s="554"/>
      <c r="BK493" s="552"/>
      <c r="BL493" s="554"/>
      <c r="BM493" s="554"/>
      <c r="BN493" s="552"/>
      <c r="BO493" s="554"/>
      <c r="BP493" s="554"/>
      <c r="BQ493" s="552"/>
      <c r="BR493" s="554"/>
      <c r="BS493" s="554"/>
      <c r="BT493" s="554"/>
      <c r="BU493" s="554"/>
      <c r="BV493" s="554"/>
      <c r="BW493" s="554"/>
      <c r="BX493" s="554"/>
      <c r="BY493" s="554"/>
      <c r="BZ493" s="554"/>
      <c r="CA493" s="554"/>
      <c r="CB493" s="554"/>
      <c r="CC493" s="554"/>
      <c r="CD493" s="554"/>
      <c r="CE493" s="554"/>
      <c r="CF493" s="554"/>
      <c r="CG493" s="554"/>
      <c r="CH493" s="554"/>
      <c r="CI493" s="554"/>
      <c r="CJ493" s="554"/>
      <c r="CK493" s="554"/>
      <c r="CL493" s="554"/>
      <c r="CM493" s="554"/>
      <c r="CN493" s="554"/>
      <c r="CO493" s="554"/>
      <c r="CP493" s="554"/>
      <c r="CQ493" s="554"/>
      <c r="CR493" s="554"/>
      <c r="CS493" s="554"/>
      <c r="CT493" s="554"/>
      <c r="CU493" s="554"/>
      <c r="CV493" s="554"/>
      <c r="CW493" s="554"/>
      <c r="CX493" s="554"/>
      <c r="CY493" s="554"/>
      <c r="CZ493" s="554"/>
      <c r="DA493" s="554"/>
      <c r="DB493" s="554"/>
      <c r="DC493" s="554"/>
      <c r="DD493" s="554"/>
      <c r="DE493" s="534"/>
      <c r="DF493" s="534"/>
      <c r="DG493" s="534"/>
    </row>
    <row r="494" spans="1:111" ht="15" hidden="1" x14ac:dyDescent="0.25">
      <c r="A494" s="549" t="s">
        <v>22</v>
      </c>
      <c r="B494" s="556" t="s">
        <v>22</v>
      </c>
      <c r="C494" s="556" t="s">
        <v>22</v>
      </c>
      <c r="D494" s="556" t="s">
        <v>22</v>
      </c>
      <c r="E494" s="556" t="s">
        <v>22</v>
      </c>
      <c r="F494" s="556" t="s">
        <v>22</v>
      </c>
      <c r="G494" s="556" t="str">
        <f>IFERROR(IF(MID('Load Criteria'!X494,FIND("_",'Load Criteria'!X494,1)+1,1)=LEFT(Control!$D$23,1),"YES","-"),"-")</f>
        <v>-</v>
      </c>
      <c r="H494" s="549" t="s">
        <v>22</v>
      </c>
      <c r="I494" s="256" t="s">
        <v>595</v>
      </c>
      <c r="J494" s="561"/>
      <c r="K494" s="561"/>
      <c r="L494" s="561"/>
      <c r="M494" s="561"/>
      <c r="N494" s="561"/>
      <c r="O494" s="561"/>
      <c r="P494" s="396"/>
      <c r="Q494" s="396"/>
      <c r="R494" s="396"/>
      <c r="S494" s="396"/>
      <c r="T494" s="396"/>
      <c r="U494" s="561"/>
      <c r="V494" s="561"/>
      <c r="W494" s="554"/>
      <c r="X494" s="554"/>
      <c r="Y494" s="554"/>
      <c r="Z494" s="554"/>
      <c r="AA494" s="554"/>
      <c r="AB494" s="554"/>
      <c r="AC494" s="554"/>
      <c r="AD494" s="554"/>
      <c r="AE494" s="554"/>
      <c r="AF494" s="554"/>
      <c r="AG494" s="554"/>
      <c r="AH494" s="554"/>
      <c r="AI494" s="554"/>
      <c r="AJ494" s="554"/>
      <c r="AK494" s="554"/>
      <c r="AL494" s="554"/>
      <c r="AM494" s="554"/>
      <c r="AN494" s="554"/>
      <c r="AO494" s="554"/>
      <c r="AP494" s="554"/>
      <c r="AQ494" s="554"/>
      <c r="AR494" s="554"/>
      <c r="AS494" s="554"/>
      <c r="AT494" s="554"/>
      <c r="AU494" s="554"/>
      <c r="AV494" s="553"/>
      <c r="AW494" s="554"/>
      <c r="AX494" s="554"/>
      <c r="AY494" s="554"/>
      <c r="AZ494" s="554"/>
      <c r="BA494" s="554"/>
      <c r="BB494" s="552"/>
      <c r="BC494" s="554"/>
      <c r="BD494" s="552"/>
      <c r="BE494" s="554"/>
      <c r="BF494" s="554"/>
      <c r="BG494" s="554"/>
      <c r="BH494" s="554"/>
      <c r="BI494" s="554"/>
      <c r="BJ494" s="554"/>
      <c r="BK494" s="554"/>
      <c r="BL494" s="554"/>
      <c r="BM494" s="554"/>
      <c r="BN494" s="554"/>
      <c r="BO494" s="554"/>
      <c r="BP494" s="554"/>
      <c r="BQ494" s="554"/>
      <c r="BR494" s="554"/>
      <c r="BS494" s="554"/>
      <c r="BT494" s="554"/>
      <c r="BU494" s="554"/>
      <c r="BV494" s="554"/>
      <c r="BW494" s="554"/>
      <c r="BX494" s="554"/>
      <c r="BY494" s="554"/>
      <c r="BZ494" s="554"/>
      <c r="CA494" s="554"/>
      <c r="CB494" s="554"/>
      <c r="CC494" s="554"/>
      <c r="CD494" s="554"/>
      <c r="CE494" s="554"/>
      <c r="CF494" s="554"/>
      <c r="CG494" s="554"/>
      <c r="CH494" s="554"/>
      <c r="CI494" s="554"/>
      <c r="CJ494" s="554"/>
      <c r="CK494" s="554"/>
      <c r="CL494" s="554"/>
      <c r="CM494" s="554"/>
      <c r="CN494" s="554"/>
      <c r="CO494" s="554"/>
      <c r="CP494" s="554"/>
      <c r="CQ494" s="554"/>
      <c r="CR494" s="554"/>
      <c r="CS494" s="554"/>
      <c r="CT494" s="554"/>
      <c r="CU494" s="554"/>
      <c r="CV494" s="554"/>
      <c r="CW494" s="554"/>
      <c r="CX494" s="554"/>
      <c r="CY494" s="554"/>
      <c r="CZ494" s="554"/>
      <c r="DA494" s="554"/>
      <c r="DB494" s="554"/>
      <c r="DC494" s="554"/>
      <c r="DD494" s="554"/>
      <c r="DE494" s="534"/>
      <c r="DF494" s="534"/>
      <c r="DG494" s="534"/>
    </row>
    <row r="495" spans="1:111" ht="15" hidden="1" x14ac:dyDescent="0.25">
      <c r="A495" s="549" t="str">
        <f>IF(B495=Control!$D$27,"1","-")</f>
        <v>-</v>
      </c>
      <c r="B495" s="555" t="s">
        <v>596</v>
      </c>
      <c r="C495" s="556" t="str">
        <f>IF('Weather Cases'!$E$40=0,"","DC/SC")</f>
        <v>DC/SC</v>
      </c>
      <c r="D495" s="556" t="s">
        <v>591</v>
      </c>
      <c r="E495" s="556" t="s">
        <v>22</v>
      </c>
      <c r="F495" s="556" t="s">
        <v>22</v>
      </c>
      <c r="G495" s="556" t="str">
        <f>IFERROR(IF(MID('Load Criteria'!X495,FIND("_",'Load Criteria'!X495,1)+1,1)=LEFT(Control!$D$23,1),"YES","-"),"-")</f>
        <v>-</v>
      </c>
      <c r="H495" s="549" t="s">
        <v>22</v>
      </c>
      <c r="I495" s="557" t="s">
        <v>359</v>
      </c>
      <c r="J495" s="508" t="s">
        <v>300</v>
      </c>
      <c r="K495" s="508" t="s">
        <v>596</v>
      </c>
      <c r="L495" s="508"/>
      <c r="M495" s="508"/>
      <c r="N495" s="508"/>
      <c r="O495" s="508"/>
      <c r="P495" s="395"/>
      <c r="Q495" s="395"/>
      <c r="R495" s="395"/>
      <c r="S495" s="395"/>
      <c r="T495" s="395"/>
      <c r="U495" s="255" t="s">
        <v>568</v>
      </c>
      <c r="V495" s="551"/>
      <c r="W495" s="542" t="str">
        <f t="shared" si="583"/>
        <v>EDW+SP NA+</v>
      </c>
      <c r="X495" s="552" t="str">
        <f t="shared" ref="X495:X502" si="858">I495&amp;TEXT(J495,"0")</f>
        <v>EDW</v>
      </c>
      <c r="Y495" s="552" t="s">
        <v>433</v>
      </c>
      <c r="Z495" s="552" t="str">
        <f t="shared" ref="Z495:Z504" si="859">U495</f>
        <v>NA+</v>
      </c>
      <c r="AA495" s="552"/>
      <c r="AB495" s="552">
        <v>1</v>
      </c>
      <c r="AC495" s="552">
        <v>1</v>
      </c>
      <c r="AD495" s="552">
        <v>1</v>
      </c>
      <c r="AE495" s="552">
        <v>1</v>
      </c>
      <c r="AF495" s="552">
        <v>1</v>
      </c>
      <c r="AG495" s="542" t="s">
        <v>561</v>
      </c>
      <c r="AH495" s="552">
        <v>0</v>
      </c>
      <c r="AI495" s="552">
        <v>0</v>
      </c>
      <c r="AJ495" s="552">
        <v>1</v>
      </c>
      <c r="AK495" s="552">
        <v>1</v>
      </c>
      <c r="AL495" s="552">
        <v>0</v>
      </c>
      <c r="AM495" s="552">
        <v>0</v>
      </c>
      <c r="AN495" s="552">
        <v>0.4</v>
      </c>
      <c r="AO495" s="552">
        <v>1</v>
      </c>
      <c r="AP495" s="552">
        <v>1</v>
      </c>
      <c r="AQ495" s="552">
        <v>1</v>
      </c>
      <c r="AR495" s="552">
        <v>1</v>
      </c>
      <c r="AS495" s="552">
        <v>1</v>
      </c>
      <c r="AT495" s="552">
        <v>1</v>
      </c>
      <c r="AU495" s="552"/>
      <c r="AV495" s="553" t="s">
        <v>597</v>
      </c>
      <c r="AW495" s="554" t="s">
        <v>598</v>
      </c>
      <c r="AX495" s="552">
        <v>3</v>
      </c>
      <c r="AY495" s="552" t="str">
        <f t="shared" ref="AY495:AY504" si="860">IF(L495="","No","Yes")</f>
        <v>No</v>
      </c>
      <c r="AZ495" s="554" t="str">
        <f t="shared" ref="AZ495:AZ504" si="861">IF($M495="","",$M495&amp;":1:"&amp;IF($L495="A","Ahead","Back"))</f>
        <v/>
      </c>
      <c r="BA495" s="554" t="str">
        <f t="shared" ref="BA495:BA504" si="862">IF(AZ495="","","Broken Wire (# Broken Subconductors)")</f>
        <v/>
      </c>
      <c r="BB495" s="552" t="str">
        <f t="shared" ref="BB495:BB504" si="863">IF(AZ495="","",4)</f>
        <v/>
      </c>
      <c r="BC495" s="554" t="str">
        <f t="shared" ref="BC495:BC504" si="864">IF($M495="","",$M495+10&amp;":1:"&amp;IF($L495="A","Ahead","Back"))</f>
        <v/>
      </c>
      <c r="BD495" s="554" t="str">
        <f t="shared" ref="BD495:BD504" si="865">IF(BC495="","","Broken Wire (# Broken Subconductors)")</f>
        <v/>
      </c>
      <c r="BE495" s="552" t="str">
        <f t="shared" ref="BE495:BE504" si="866">IF(BC495="","",4)</f>
        <v/>
      </c>
      <c r="BF495" s="554" t="str">
        <f t="shared" ref="BF495:BF504" si="867">IF($N495="","",$N495&amp;":1:"&amp;IF($L495="A","Back","Ahead"))</f>
        <v/>
      </c>
      <c r="BG495" s="554" t="str">
        <f t="shared" ref="BG495:BG504" si="868">IF(BF495="","","Broken Wire (# Broken Subconductors)")</f>
        <v/>
      </c>
      <c r="BH495" s="552" t="str">
        <f t="shared" ref="BH495:BH504" si="869">IF(BF495="","",4)</f>
        <v/>
      </c>
      <c r="BI495" s="554" t="str">
        <f t="shared" ref="BI495:BI504" si="870">IF($N495="","",$N495+10&amp;":1:"&amp;IF($L495="A","Ahead","Back"))</f>
        <v/>
      </c>
      <c r="BJ495" s="554" t="str">
        <f t="shared" ref="BJ495:BJ504" si="871">IF(BI495="","","Broken Wire (# Broken Subconductors)")</f>
        <v/>
      </c>
      <c r="BK495" s="552" t="str">
        <f t="shared" ref="BK495:BK504" si="872">IF(BI495="","",4)</f>
        <v/>
      </c>
      <c r="BL495" s="554" t="str">
        <f t="shared" ref="BL495:BL504" si="873">IF($O495="","",$O495&amp;":1:"&amp;IF($L495="A","Ahead","Back"))</f>
        <v/>
      </c>
      <c r="BM495" s="554" t="str">
        <f t="shared" ref="BM495:BM504" si="874">IF(BL495="","","Broken Wire (# Broken Subconductors)")</f>
        <v/>
      </c>
      <c r="BN495" s="552" t="str">
        <f t="shared" ref="BN495:BN504" si="875">IF(BL495="","",4)</f>
        <v/>
      </c>
      <c r="BO495" s="554" t="str">
        <f t="shared" ref="BO495:BO504" si="876">IF($O495="","",$O495+10&amp;":1:"&amp;IF($L495="A","Ahead","Back"))</f>
        <v/>
      </c>
      <c r="BP495" s="554" t="str">
        <f t="shared" ref="BP495:BP504" si="877">IF(BO495="","","Broken Wire (# Broken Subconductors)")</f>
        <v/>
      </c>
      <c r="BQ495" s="552" t="str">
        <f t="shared" ref="BQ495:BQ504" si="878">IF(BO495="","",4)</f>
        <v/>
      </c>
      <c r="BR495" s="554"/>
      <c r="BS495" s="554"/>
      <c r="BT495" s="554"/>
      <c r="BU495" s="554"/>
      <c r="BV495" s="554"/>
      <c r="BW495" s="554"/>
      <c r="BX495" s="554"/>
      <c r="BY495" s="554"/>
      <c r="BZ495" s="554"/>
      <c r="CA495" s="554"/>
      <c r="CB495" s="554"/>
      <c r="CC495" s="554"/>
      <c r="CD495" s="554"/>
      <c r="CE495" s="554"/>
      <c r="CF495" s="554"/>
      <c r="CG495" s="554"/>
      <c r="CH495" s="554"/>
      <c r="CI495" s="554"/>
      <c r="CJ495" s="554"/>
      <c r="CK495" s="554"/>
      <c r="CL495" s="554"/>
      <c r="CM495" s="554"/>
      <c r="CN495" s="554"/>
      <c r="CO495" s="554"/>
      <c r="CP495" s="554"/>
      <c r="CQ495" s="554"/>
      <c r="CR495" s="554"/>
      <c r="CS495" s="554"/>
      <c r="CT495" s="554"/>
      <c r="CU495" s="554"/>
      <c r="CV495" s="554"/>
      <c r="CW495" s="554"/>
      <c r="CX495" s="554"/>
      <c r="CY495" s="554"/>
      <c r="CZ495" s="554"/>
      <c r="DA495" s="554"/>
      <c r="DB495" s="554"/>
      <c r="DC495" s="554"/>
      <c r="DD495" s="554"/>
      <c r="DE495" s="534"/>
      <c r="DF495" s="534"/>
      <c r="DG495" s="534"/>
    </row>
    <row r="496" spans="1:111" ht="15" hidden="1" x14ac:dyDescent="0.25">
      <c r="A496" s="549" t="str">
        <f>IF(B496=Control!$D$27,"1","-")</f>
        <v>-</v>
      </c>
      <c r="B496" s="555" t="s">
        <v>596</v>
      </c>
      <c r="C496" s="556" t="str">
        <f>IF('Weather Cases'!$E$40=0,"","DC/SC")</f>
        <v>DC/SC</v>
      </c>
      <c r="D496" s="556" t="s">
        <v>591</v>
      </c>
      <c r="E496" s="556" t="s">
        <v>22</v>
      </c>
      <c r="F496" s="556" t="s">
        <v>22</v>
      </c>
      <c r="G496" s="556" t="str">
        <f>IFERROR(IF(MID('Load Criteria'!X496,FIND("_",'Load Criteria'!X496,1)+1,1)=LEFT(Control!$D$23,1),"YES","-"),"-")</f>
        <v>-</v>
      </c>
      <c r="H496" s="549" t="s">
        <v>22</v>
      </c>
      <c r="I496" s="557" t="s">
        <v>359</v>
      </c>
      <c r="J496" s="508" t="s">
        <v>300</v>
      </c>
      <c r="K496" s="508" t="s">
        <v>596</v>
      </c>
      <c r="L496" s="508"/>
      <c r="M496" s="508"/>
      <c r="N496" s="508"/>
      <c r="O496" s="508"/>
      <c r="P496" s="395"/>
      <c r="Q496" s="395"/>
      <c r="R496" s="395"/>
      <c r="S496" s="395"/>
      <c r="T496" s="395"/>
      <c r="U496" s="255" t="s">
        <v>574</v>
      </c>
      <c r="V496" s="551"/>
      <c r="W496" s="542" t="str">
        <f t="shared" si="583"/>
        <v>EDW+SP NA-</v>
      </c>
      <c r="X496" s="552" t="str">
        <f t="shared" si="858"/>
        <v>EDW</v>
      </c>
      <c r="Y496" s="552" t="s">
        <v>433</v>
      </c>
      <c r="Z496" s="552" t="str">
        <f t="shared" si="859"/>
        <v>NA-</v>
      </c>
      <c r="AA496" s="552"/>
      <c r="AB496" s="552">
        <v>1</v>
      </c>
      <c r="AC496" s="552">
        <v>1</v>
      </c>
      <c r="AD496" s="552">
        <v>1</v>
      </c>
      <c r="AE496" s="552">
        <v>1</v>
      </c>
      <c r="AF496" s="552">
        <v>1</v>
      </c>
      <c r="AG496" s="542" t="s">
        <v>561</v>
      </c>
      <c r="AH496" s="552">
        <v>0</v>
      </c>
      <c r="AI496" s="552">
        <v>0</v>
      </c>
      <c r="AJ496" s="552">
        <v>1</v>
      </c>
      <c r="AK496" s="552">
        <v>1</v>
      </c>
      <c r="AL496" s="552">
        <v>0</v>
      </c>
      <c r="AM496" s="552">
        <v>0</v>
      </c>
      <c r="AN496" s="552">
        <v>0.4</v>
      </c>
      <c r="AO496" s="552">
        <v>1</v>
      </c>
      <c r="AP496" s="552">
        <v>1</v>
      </c>
      <c r="AQ496" s="552">
        <v>1</v>
      </c>
      <c r="AR496" s="552">
        <v>1</v>
      </c>
      <c r="AS496" s="552">
        <v>1</v>
      </c>
      <c r="AT496" s="552">
        <v>1</v>
      </c>
      <c r="AU496" s="552"/>
      <c r="AV496" s="553" t="s">
        <v>597</v>
      </c>
      <c r="AW496" s="554" t="s">
        <v>598</v>
      </c>
      <c r="AX496" s="552">
        <v>3</v>
      </c>
      <c r="AY496" s="552" t="str">
        <f t="shared" si="860"/>
        <v>No</v>
      </c>
      <c r="AZ496" s="554" t="str">
        <f t="shared" si="861"/>
        <v/>
      </c>
      <c r="BA496" s="554" t="str">
        <f t="shared" si="862"/>
        <v/>
      </c>
      <c r="BB496" s="552" t="str">
        <f t="shared" si="863"/>
        <v/>
      </c>
      <c r="BC496" s="554" t="str">
        <f t="shared" si="864"/>
        <v/>
      </c>
      <c r="BD496" s="554" t="str">
        <f t="shared" si="865"/>
        <v/>
      </c>
      <c r="BE496" s="552" t="str">
        <f t="shared" si="866"/>
        <v/>
      </c>
      <c r="BF496" s="554" t="str">
        <f t="shared" si="867"/>
        <v/>
      </c>
      <c r="BG496" s="554" t="str">
        <f t="shared" si="868"/>
        <v/>
      </c>
      <c r="BH496" s="552" t="str">
        <f t="shared" si="869"/>
        <v/>
      </c>
      <c r="BI496" s="554" t="str">
        <f t="shared" si="870"/>
        <v/>
      </c>
      <c r="BJ496" s="554" t="str">
        <f t="shared" si="871"/>
        <v/>
      </c>
      <c r="BK496" s="552" t="str">
        <f t="shared" si="872"/>
        <v/>
      </c>
      <c r="BL496" s="554" t="str">
        <f t="shared" si="873"/>
        <v/>
      </c>
      <c r="BM496" s="554" t="str">
        <f t="shared" si="874"/>
        <v/>
      </c>
      <c r="BN496" s="552" t="str">
        <f t="shared" si="875"/>
        <v/>
      </c>
      <c r="BO496" s="554" t="str">
        <f t="shared" si="876"/>
        <v/>
      </c>
      <c r="BP496" s="554" t="str">
        <f t="shared" si="877"/>
        <v/>
      </c>
      <c r="BQ496" s="552" t="str">
        <f t="shared" si="878"/>
        <v/>
      </c>
      <c r="BR496" s="554"/>
      <c r="BS496" s="554"/>
      <c r="BT496" s="554"/>
      <c r="BU496" s="554"/>
      <c r="BV496" s="554"/>
      <c r="BW496" s="554"/>
      <c r="BX496" s="554"/>
      <c r="BY496" s="554"/>
      <c r="BZ496" s="554"/>
      <c r="CA496" s="554"/>
      <c r="CB496" s="554"/>
      <c r="CC496" s="554"/>
      <c r="CD496" s="554"/>
      <c r="CE496" s="554"/>
      <c r="CF496" s="554"/>
      <c r="CG496" s="554"/>
      <c r="CH496" s="554"/>
      <c r="CI496" s="554"/>
      <c r="CJ496" s="554"/>
      <c r="CK496" s="554"/>
      <c r="CL496" s="554"/>
      <c r="CM496" s="554"/>
      <c r="CN496" s="554"/>
      <c r="CO496" s="554"/>
      <c r="CP496" s="554"/>
      <c r="CQ496" s="554"/>
      <c r="CR496" s="554"/>
      <c r="CS496" s="554"/>
      <c r="CT496" s="554"/>
      <c r="CU496" s="554"/>
      <c r="CV496" s="554"/>
      <c r="CW496" s="554"/>
      <c r="CX496" s="554"/>
      <c r="CY496" s="554"/>
      <c r="CZ496" s="554"/>
      <c r="DA496" s="554"/>
      <c r="DB496" s="554"/>
      <c r="DC496" s="554"/>
      <c r="DD496" s="554"/>
      <c r="DE496" s="534"/>
      <c r="DF496" s="534"/>
      <c r="DG496" s="534"/>
    </row>
    <row r="497" spans="1:111" ht="15" hidden="1" x14ac:dyDescent="0.25">
      <c r="A497" s="549" t="str">
        <f>IF(B497=Control!$D$27,"1","-")</f>
        <v>-</v>
      </c>
      <c r="B497" s="555" t="s">
        <v>596</v>
      </c>
      <c r="C497" s="556" t="str">
        <f>IF('Weather Cases'!$E$40=0,"","DC/SC")</f>
        <v>DC/SC</v>
      </c>
      <c r="D497" s="556" t="s">
        <v>591</v>
      </c>
      <c r="E497" s="556" t="s">
        <v>22</v>
      </c>
      <c r="F497" s="556" t="s">
        <v>22</v>
      </c>
      <c r="G497" s="556" t="str">
        <f>IFERROR(IF(MID('Load Criteria'!X497,FIND("_",'Load Criteria'!X497,1)+1,1)=LEFT(Control!$D$23,1),"YES","-"),"-")</f>
        <v>YES</v>
      </c>
      <c r="H497" s="549" t="str">
        <f>IF(INDEX('Weather Cases'!$G$10:$G$94,MATCH('Load Criteria'!X497,'Weather Cases'!$H$10:$H$94,0),1)="H","YES","")</f>
        <v/>
      </c>
      <c r="I497" s="557" t="s">
        <v>376</v>
      </c>
      <c r="J497" s="508" t="s">
        <v>300</v>
      </c>
      <c r="K497" s="508" t="s">
        <v>596</v>
      </c>
      <c r="L497" s="508"/>
      <c r="M497" s="508"/>
      <c r="N497" s="508"/>
      <c r="O497" s="508"/>
      <c r="P497" s="395"/>
      <c r="Q497" s="395"/>
      <c r="R497" s="395"/>
      <c r="S497" s="395"/>
      <c r="T497" s="395"/>
      <c r="U497" s="255" t="s">
        <v>568</v>
      </c>
      <c r="V497" s="551"/>
      <c r="W497" s="542" t="str">
        <f t="shared" si="583"/>
        <v>HWD_A+SP NA+</v>
      </c>
      <c r="X497" s="552" t="str">
        <f>'Weather Cases'!$H$68</f>
        <v>HWD_A</v>
      </c>
      <c r="Y497" s="552" t="s">
        <v>433</v>
      </c>
      <c r="Z497" s="552" t="str">
        <f t="shared" si="859"/>
        <v>NA+</v>
      </c>
      <c r="AA497" s="552"/>
      <c r="AB497" s="552">
        <v>1</v>
      </c>
      <c r="AC497" s="552">
        <v>1</v>
      </c>
      <c r="AD497" s="552">
        <v>1</v>
      </c>
      <c r="AE497" s="552">
        <v>1</v>
      </c>
      <c r="AF497" s="552">
        <v>1</v>
      </c>
      <c r="AG497" s="542" t="s">
        <v>561</v>
      </c>
      <c r="AH497" s="552">
        <v>0</v>
      </c>
      <c r="AI497" s="552">
        <v>0</v>
      </c>
      <c r="AJ497" s="552">
        <v>1</v>
      </c>
      <c r="AK497" s="552">
        <v>1</v>
      </c>
      <c r="AL497" s="552">
        <v>0</v>
      </c>
      <c r="AM497" s="552">
        <v>0.65</v>
      </c>
      <c r="AN497" s="552">
        <v>0</v>
      </c>
      <c r="AO497" s="552">
        <v>1</v>
      </c>
      <c r="AP497" s="552">
        <v>1</v>
      </c>
      <c r="AQ497" s="552">
        <v>1</v>
      </c>
      <c r="AR497" s="552">
        <v>1</v>
      </c>
      <c r="AS497" s="552">
        <v>1</v>
      </c>
      <c r="AT497" s="552">
        <v>1</v>
      </c>
      <c r="AU497" s="552"/>
      <c r="AV497" s="553" t="s">
        <v>597</v>
      </c>
      <c r="AW497" s="554" t="s">
        <v>598</v>
      </c>
      <c r="AX497" s="552">
        <v>5</v>
      </c>
      <c r="AY497" s="552" t="str">
        <f t="shared" si="860"/>
        <v>No</v>
      </c>
      <c r="AZ497" s="554" t="str">
        <f t="shared" si="861"/>
        <v/>
      </c>
      <c r="BA497" s="554" t="str">
        <f t="shared" si="862"/>
        <v/>
      </c>
      <c r="BB497" s="552" t="str">
        <f t="shared" si="863"/>
        <v/>
      </c>
      <c r="BC497" s="554" t="str">
        <f t="shared" si="864"/>
        <v/>
      </c>
      <c r="BD497" s="554" t="str">
        <f t="shared" si="865"/>
        <v/>
      </c>
      <c r="BE497" s="552" t="str">
        <f t="shared" si="866"/>
        <v/>
      </c>
      <c r="BF497" s="554" t="str">
        <f t="shared" si="867"/>
        <v/>
      </c>
      <c r="BG497" s="554" t="str">
        <f t="shared" si="868"/>
        <v/>
      </c>
      <c r="BH497" s="552" t="str">
        <f t="shared" si="869"/>
        <v/>
      </c>
      <c r="BI497" s="554" t="str">
        <f t="shared" si="870"/>
        <v/>
      </c>
      <c r="BJ497" s="554" t="str">
        <f t="shared" si="871"/>
        <v/>
      </c>
      <c r="BK497" s="552" t="str">
        <f t="shared" si="872"/>
        <v/>
      </c>
      <c r="BL497" s="554" t="str">
        <f t="shared" si="873"/>
        <v/>
      </c>
      <c r="BM497" s="554" t="str">
        <f t="shared" si="874"/>
        <v/>
      </c>
      <c r="BN497" s="552" t="str">
        <f t="shared" si="875"/>
        <v/>
      </c>
      <c r="BO497" s="554" t="str">
        <f t="shared" si="876"/>
        <v/>
      </c>
      <c r="BP497" s="554" t="str">
        <f t="shared" si="877"/>
        <v/>
      </c>
      <c r="BQ497" s="552" t="str">
        <f t="shared" si="878"/>
        <v/>
      </c>
      <c r="BR497" s="554"/>
      <c r="BS497" s="554"/>
      <c r="BT497" s="554"/>
      <c r="BU497" s="554"/>
      <c r="BV497" s="554"/>
      <c r="BW497" s="554"/>
      <c r="BX497" s="554"/>
      <c r="BY497" s="554"/>
      <c r="BZ497" s="554"/>
      <c r="CA497" s="554"/>
      <c r="CB497" s="554"/>
      <c r="CC497" s="554"/>
      <c r="CD497" s="554"/>
      <c r="CE497" s="554"/>
      <c r="CF497" s="554"/>
      <c r="CG497" s="554"/>
      <c r="CH497" s="554"/>
      <c r="CI497" s="554"/>
      <c r="CJ497" s="554"/>
      <c r="CK497" s="554"/>
      <c r="CL497" s="554"/>
      <c r="CM497" s="554"/>
      <c r="CN497" s="554"/>
      <c r="CO497" s="554"/>
      <c r="CP497" s="554"/>
      <c r="CQ497" s="554"/>
      <c r="CR497" s="554"/>
      <c r="CS497" s="554"/>
      <c r="CT497" s="554"/>
      <c r="CU497" s="554"/>
      <c r="CV497" s="554"/>
      <c r="CW497" s="554"/>
      <c r="CX497" s="554"/>
      <c r="CY497" s="554"/>
      <c r="CZ497" s="554"/>
      <c r="DA497" s="554"/>
      <c r="DB497" s="554"/>
      <c r="DC497" s="554"/>
      <c r="DD497" s="554"/>
      <c r="DE497" s="534"/>
      <c r="DF497" s="534"/>
      <c r="DG497" s="534"/>
    </row>
    <row r="498" spans="1:111" ht="15" hidden="1" x14ac:dyDescent="0.25">
      <c r="A498" s="549" t="str">
        <f>IF(B498=Control!$D$27,"1","-")</f>
        <v>-</v>
      </c>
      <c r="B498" s="555" t="s">
        <v>596</v>
      </c>
      <c r="C498" s="556" t="str">
        <f>IF('Weather Cases'!$E$40=0,"","DC/SC")</f>
        <v>DC/SC</v>
      </c>
      <c r="D498" s="556" t="s">
        <v>591</v>
      </c>
      <c r="E498" s="556" t="s">
        <v>22</v>
      </c>
      <c r="F498" s="556" t="s">
        <v>22</v>
      </c>
      <c r="G498" s="556" t="str">
        <f>IFERROR(IF(MID('Load Criteria'!X498,FIND("_",'Load Criteria'!X498,1)+1,1)=LEFT(Control!$D$23,1),"YES","-"),"-")</f>
        <v>YES</v>
      </c>
      <c r="H498" s="549" t="str">
        <f>IF(INDEX('Weather Cases'!$G$10:$G$94,MATCH('Load Criteria'!X498,'Weather Cases'!$H$10:$H$94,0),1)="H","YES","")</f>
        <v/>
      </c>
      <c r="I498" s="557" t="s">
        <v>376</v>
      </c>
      <c r="J498" s="508" t="s">
        <v>300</v>
      </c>
      <c r="K498" s="508" t="s">
        <v>596</v>
      </c>
      <c r="L498" s="508"/>
      <c r="M498" s="508"/>
      <c r="N498" s="508"/>
      <c r="O498" s="508"/>
      <c r="P498" s="395"/>
      <c r="Q498" s="395"/>
      <c r="R498" s="395"/>
      <c r="S498" s="395"/>
      <c r="T498" s="395"/>
      <c r="U498" s="255" t="s">
        <v>574</v>
      </c>
      <c r="V498" s="551"/>
      <c r="W498" s="542" t="str">
        <f t="shared" si="583"/>
        <v>HWD_A+SP NA-</v>
      </c>
      <c r="X498" s="552" t="str">
        <f>'Weather Cases'!$H$68</f>
        <v>HWD_A</v>
      </c>
      <c r="Y498" s="552" t="s">
        <v>433</v>
      </c>
      <c r="Z498" s="552" t="str">
        <f t="shared" si="859"/>
        <v>NA-</v>
      </c>
      <c r="AA498" s="552"/>
      <c r="AB498" s="552">
        <v>1</v>
      </c>
      <c r="AC498" s="552">
        <v>1</v>
      </c>
      <c r="AD498" s="552">
        <v>1</v>
      </c>
      <c r="AE498" s="552">
        <v>1</v>
      </c>
      <c r="AF498" s="552">
        <v>1</v>
      </c>
      <c r="AG498" s="542" t="s">
        <v>561</v>
      </c>
      <c r="AH498" s="552">
        <v>0</v>
      </c>
      <c r="AI498" s="552">
        <v>0</v>
      </c>
      <c r="AJ498" s="552">
        <v>1</v>
      </c>
      <c r="AK498" s="552">
        <v>1</v>
      </c>
      <c r="AL498" s="552">
        <v>0</v>
      </c>
      <c r="AM498" s="552">
        <v>0.65</v>
      </c>
      <c r="AN498" s="552">
        <v>0</v>
      </c>
      <c r="AO498" s="552">
        <v>1</v>
      </c>
      <c r="AP498" s="552">
        <v>1</v>
      </c>
      <c r="AQ498" s="552">
        <v>1</v>
      </c>
      <c r="AR498" s="552">
        <v>1</v>
      </c>
      <c r="AS498" s="552">
        <v>1</v>
      </c>
      <c r="AT498" s="552">
        <v>1</v>
      </c>
      <c r="AU498" s="552"/>
      <c r="AV498" s="553" t="s">
        <v>597</v>
      </c>
      <c r="AW498" s="554" t="s">
        <v>598</v>
      </c>
      <c r="AX498" s="552">
        <v>5</v>
      </c>
      <c r="AY498" s="552" t="str">
        <f t="shared" si="860"/>
        <v>No</v>
      </c>
      <c r="AZ498" s="554" t="str">
        <f t="shared" si="861"/>
        <v/>
      </c>
      <c r="BA498" s="554" t="str">
        <f t="shared" si="862"/>
        <v/>
      </c>
      <c r="BB498" s="552" t="str">
        <f t="shared" si="863"/>
        <v/>
      </c>
      <c r="BC498" s="554" t="str">
        <f t="shared" si="864"/>
        <v/>
      </c>
      <c r="BD498" s="554" t="str">
        <f t="shared" si="865"/>
        <v/>
      </c>
      <c r="BE498" s="552" t="str">
        <f t="shared" si="866"/>
        <v/>
      </c>
      <c r="BF498" s="554" t="str">
        <f t="shared" si="867"/>
        <v/>
      </c>
      <c r="BG498" s="554" t="str">
        <f t="shared" si="868"/>
        <v/>
      </c>
      <c r="BH498" s="552" t="str">
        <f t="shared" si="869"/>
        <v/>
      </c>
      <c r="BI498" s="554" t="str">
        <f t="shared" si="870"/>
        <v/>
      </c>
      <c r="BJ498" s="554" t="str">
        <f t="shared" si="871"/>
        <v/>
      </c>
      <c r="BK498" s="552" t="str">
        <f t="shared" si="872"/>
        <v/>
      </c>
      <c r="BL498" s="554" t="str">
        <f t="shared" si="873"/>
        <v/>
      </c>
      <c r="BM498" s="554" t="str">
        <f t="shared" si="874"/>
        <v/>
      </c>
      <c r="BN498" s="552" t="str">
        <f t="shared" si="875"/>
        <v/>
      </c>
      <c r="BO498" s="554" t="str">
        <f t="shared" si="876"/>
        <v/>
      </c>
      <c r="BP498" s="554" t="str">
        <f t="shared" si="877"/>
        <v/>
      </c>
      <c r="BQ498" s="552" t="str">
        <f t="shared" si="878"/>
        <v/>
      </c>
      <c r="BR498" s="554"/>
      <c r="BS498" s="554"/>
      <c r="BT498" s="554"/>
      <c r="BU498" s="554"/>
      <c r="BV498" s="554"/>
      <c r="BW498" s="554"/>
      <c r="BX498" s="554"/>
      <c r="BY498" s="554"/>
      <c r="BZ498" s="554"/>
      <c r="CA498" s="554"/>
      <c r="CB498" s="554"/>
      <c r="CC498" s="554"/>
      <c r="CD498" s="554"/>
      <c r="CE498" s="554"/>
      <c r="CF498" s="554"/>
      <c r="CG498" s="554"/>
      <c r="CH498" s="554"/>
      <c r="CI498" s="554"/>
      <c r="CJ498" s="554"/>
      <c r="CK498" s="554"/>
      <c r="CL498" s="554"/>
      <c r="CM498" s="554"/>
      <c r="CN498" s="554"/>
      <c r="CO498" s="554"/>
      <c r="CP498" s="554"/>
      <c r="CQ498" s="554"/>
      <c r="CR498" s="554"/>
      <c r="CS498" s="554"/>
      <c r="CT498" s="554"/>
      <c r="CU498" s="554"/>
      <c r="CV498" s="554"/>
      <c r="CW498" s="554"/>
      <c r="CX498" s="554"/>
      <c r="CY498" s="554"/>
      <c r="CZ498" s="554"/>
      <c r="DA498" s="554"/>
      <c r="DB498" s="554"/>
      <c r="DC498" s="554"/>
      <c r="DD498" s="554"/>
      <c r="DE498" s="534"/>
      <c r="DF498" s="534"/>
      <c r="DG498" s="534"/>
    </row>
    <row r="499" spans="1:111" ht="15" hidden="1" x14ac:dyDescent="0.25">
      <c r="A499" s="549" t="str">
        <f>IF(B499=Control!$D$27,"1","-")</f>
        <v>-</v>
      </c>
      <c r="B499" s="555" t="s">
        <v>599</v>
      </c>
      <c r="C499" s="556" t="str">
        <f>IF('Weather Cases'!$E$40=0,"","DC/SC")</f>
        <v>DC/SC</v>
      </c>
      <c r="D499" s="556" t="s">
        <v>591</v>
      </c>
      <c r="E499" s="556" t="s">
        <v>22</v>
      </c>
      <c r="F499" s="556" t="s">
        <v>22</v>
      </c>
      <c r="G499" s="556" t="str">
        <f>IFERROR(IF(MID('Load Criteria'!X499,FIND("_",'Load Criteria'!X499,1)+1,1)=LEFT(Control!$D$23,1),"YES","-"),"-")</f>
        <v>-</v>
      </c>
      <c r="H499" s="549" t="s">
        <v>22</v>
      </c>
      <c r="I499" s="557" t="s">
        <v>357</v>
      </c>
      <c r="J499" s="508" t="s">
        <v>300</v>
      </c>
      <c r="K499" s="508" t="s">
        <v>599</v>
      </c>
      <c r="L499" s="508"/>
      <c r="M499" s="508"/>
      <c r="N499" s="508"/>
      <c r="O499" s="508"/>
      <c r="P499" s="395"/>
      <c r="Q499" s="395"/>
      <c r="R499" s="395"/>
      <c r="S499" s="395"/>
      <c r="T499" s="395"/>
      <c r="U499" s="255" t="s">
        <v>568</v>
      </c>
      <c r="V499" s="551"/>
      <c r="W499" s="542" t="str">
        <f t="shared" si="583"/>
        <v>EDS+XP NA+</v>
      </c>
      <c r="X499" s="552" t="str">
        <f t="shared" si="858"/>
        <v>EDS</v>
      </c>
      <c r="Y499" s="552" t="s">
        <v>433</v>
      </c>
      <c r="Z499" s="552" t="str">
        <f t="shared" si="859"/>
        <v>NA+</v>
      </c>
      <c r="AA499" s="552"/>
      <c r="AB499" s="552">
        <v>1</v>
      </c>
      <c r="AC499" s="552">
        <v>1</v>
      </c>
      <c r="AD499" s="552">
        <v>1</v>
      </c>
      <c r="AE499" s="552">
        <v>1</v>
      </c>
      <c r="AF499" s="552">
        <v>1</v>
      </c>
      <c r="AG499" s="542" t="s">
        <v>561</v>
      </c>
      <c r="AH499" s="552">
        <v>0</v>
      </c>
      <c r="AI499" s="552">
        <v>0</v>
      </c>
      <c r="AJ499" s="552">
        <v>1</v>
      </c>
      <c r="AK499" s="552">
        <v>1</v>
      </c>
      <c r="AL499" s="552">
        <v>1</v>
      </c>
      <c r="AM499" s="552">
        <v>0</v>
      </c>
      <c r="AN499" s="552">
        <v>0</v>
      </c>
      <c r="AO499" s="552">
        <v>1</v>
      </c>
      <c r="AP499" s="552">
        <v>1</v>
      </c>
      <c r="AQ499" s="552">
        <v>1</v>
      </c>
      <c r="AR499" s="552">
        <v>1</v>
      </c>
      <c r="AS499" s="552">
        <v>1</v>
      </c>
      <c r="AT499" s="552">
        <v>1</v>
      </c>
      <c r="AU499" s="552"/>
      <c r="AV499" s="553" t="s">
        <v>597</v>
      </c>
      <c r="AW499" s="554" t="s">
        <v>598</v>
      </c>
      <c r="AX499" s="552">
        <v>1</v>
      </c>
      <c r="AY499" s="552" t="str">
        <f t="shared" si="860"/>
        <v>No</v>
      </c>
      <c r="AZ499" s="554" t="str">
        <f t="shared" si="861"/>
        <v/>
      </c>
      <c r="BA499" s="554" t="str">
        <f t="shared" si="862"/>
        <v/>
      </c>
      <c r="BB499" s="552" t="str">
        <f t="shared" si="863"/>
        <v/>
      </c>
      <c r="BC499" s="554" t="str">
        <f t="shared" si="864"/>
        <v/>
      </c>
      <c r="BD499" s="554" t="str">
        <f t="shared" si="865"/>
        <v/>
      </c>
      <c r="BE499" s="552" t="str">
        <f t="shared" si="866"/>
        <v/>
      </c>
      <c r="BF499" s="554" t="str">
        <f t="shared" si="867"/>
        <v/>
      </c>
      <c r="BG499" s="554" t="str">
        <f t="shared" si="868"/>
        <v/>
      </c>
      <c r="BH499" s="552" t="str">
        <f t="shared" si="869"/>
        <v/>
      </c>
      <c r="BI499" s="554" t="str">
        <f t="shared" si="870"/>
        <v/>
      </c>
      <c r="BJ499" s="554" t="str">
        <f t="shared" si="871"/>
        <v/>
      </c>
      <c r="BK499" s="552" t="str">
        <f t="shared" si="872"/>
        <v/>
      </c>
      <c r="BL499" s="554" t="str">
        <f t="shared" si="873"/>
        <v/>
      </c>
      <c r="BM499" s="554" t="str">
        <f t="shared" si="874"/>
        <v/>
      </c>
      <c r="BN499" s="552" t="str">
        <f t="shared" si="875"/>
        <v/>
      </c>
      <c r="BO499" s="554" t="str">
        <f t="shared" si="876"/>
        <v/>
      </c>
      <c r="BP499" s="554" t="str">
        <f t="shared" si="877"/>
        <v/>
      </c>
      <c r="BQ499" s="552" t="str">
        <f t="shared" si="878"/>
        <v/>
      </c>
      <c r="BR499" s="554"/>
      <c r="BS499" s="554"/>
      <c r="BT499" s="554"/>
      <c r="BU499" s="554"/>
      <c r="BV499" s="554"/>
      <c r="BW499" s="554"/>
      <c r="BX499" s="554"/>
      <c r="BY499" s="554"/>
      <c r="BZ499" s="554"/>
      <c r="CA499" s="554"/>
      <c r="CB499" s="554"/>
      <c r="CC499" s="554"/>
      <c r="CD499" s="554"/>
      <c r="CE499" s="554"/>
      <c r="CF499" s="554"/>
      <c r="CG499" s="554"/>
      <c r="CH499" s="554"/>
      <c r="CI499" s="554"/>
      <c r="CJ499" s="554"/>
      <c r="CK499" s="554"/>
      <c r="CL499" s="554"/>
      <c r="CM499" s="554"/>
      <c r="CN499" s="554"/>
      <c r="CO499" s="554"/>
      <c r="CP499" s="554"/>
      <c r="CQ499" s="554"/>
      <c r="CR499" s="554"/>
      <c r="CS499" s="554"/>
      <c r="CT499" s="554"/>
      <c r="CU499" s="554"/>
      <c r="CV499" s="554"/>
      <c r="CW499" s="554"/>
      <c r="CX499" s="554"/>
      <c r="CY499" s="554"/>
      <c r="CZ499" s="554"/>
      <c r="DA499" s="554"/>
      <c r="DB499" s="554"/>
      <c r="DC499" s="554"/>
      <c r="DD499" s="554"/>
      <c r="DE499" s="534"/>
      <c r="DF499" s="534"/>
      <c r="DG499" s="534"/>
    </row>
    <row r="500" spans="1:111" ht="15" hidden="1" x14ac:dyDescent="0.25">
      <c r="A500" s="549" t="str">
        <f>IF(B500=Control!$D$27,"1","-")</f>
        <v>-</v>
      </c>
      <c r="B500" s="555" t="s">
        <v>599</v>
      </c>
      <c r="C500" s="556" t="str">
        <f>IF('Weather Cases'!$E$40=0,"","DC/SC")</f>
        <v>DC/SC</v>
      </c>
      <c r="D500" s="556" t="s">
        <v>591</v>
      </c>
      <c r="E500" s="556" t="s">
        <v>22</v>
      </c>
      <c r="F500" s="556" t="s">
        <v>22</v>
      </c>
      <c r="G500" s="556" t="str">
        <f>IFERROR(IF(MID('Load Criteria'!X500,FIND("_",'Load Criteria'!X500,1)+1,1)=LEFT(Control!$D$23,1),"YES","-"),"-")</f>
        <v>-</v>
      </c>
      <c r="H500" s="549" t="s">
        <v>22</v>
      </c>
      <c r="I500" s="557" t="s">
        <v>357</v>
      </c>
      <c r="J500" s="508" t="s">
        <v>300</v>
      </c>
      <c r="K500" s="508" t="s">
        <v>599</v>
      </c>
      <c r="L500" s="508"/>
      <c r="M500" s="508"/>
      <c r="N500" s="508"/>
      <c r="O500" s="508"/>
      <c r="P500" s="395"/>
      <c r="Q500" s="395"/>
      <c r="R500" s="395"/>
      <c r="S500" s="395"/>
      <c r="T500" s="395"/>
      <c r="U500" s="255" t="s">
        <v>574</v>
      </c>
      <c r="V500" s="551"/>
      <c r="W500" s="542" t="str">
        <f t="shared" si="583"/>
        <v>EDS+XP NA-</v>
      </c>
      <c r="X500" s="552" t="str">
        <f>I500&amp;TEXT(J500,"0")</f>
        <v>EDS</v>
      </c>
      <c r="Y500" s="552" t="s">
        <v>433</v>
      </c>
      <c r="Z500" s="552" t="str">
        <f>U500</f>
        <v>NA-</v>
      </c>
      <c r="AA500" s="552"/>
      <c r="AB500" s="552">
        <v>1</v>
      </c>
      <c r="AC500" s="552">
        <v>1</v>
      </c>
      <c r="AD500" s="552">
        <v>1</v>
      </c>
      <c r="AE500" s="552">
        <v>1</v>
      </c>
      <c r="AF500" s="552">
        <v>1</v>
      </c>
      <c r="AG500" s="542" t="s">
        <v>561</v>
      </c>
      <c r="AH500" s="552">
        <v>0</v>
      </c>
      <c r="AI500" s="552">
        <v>0</v>
      </c>
      <c r="AJ500" s="552">
        <v>1</v>
      </c>
      <c r="AK500" s="552">
        <v>1</v>
      </c>
      <c r="AL500" s="552">
        <v>1</v>
      </c>
      <c r="AM500" s="552">
        <v>0</v>
      </c>
      <c r="AN500" s="552">
        <v>0</v>
      </c>
      <c r="AO500" s="552">
        <v>1</v>
      </c>
      <c r="AP500" s="552">
        <v>1</v>
      </c>
      <c r="AQ500" s="552">
        <v>1</v>
      </c>
      <c r="AR500" s="552">
        <v>1</v>
      </c>
      <c r="AS500" s="552">
        <v>1</v>
      </c>
      <c r="AT500" s="552">
        <v>1</v>
      </c>
      <c r="AU500" s="552"/>
      <c r="AV500" s="553" t="s">
        <v>597</v>
      </c>
      <c r="AW500" s="554" t="s">
        <v>598</v>
      </c>
      <c r="AX500" s="552">
        <v>1</v>
      </c>
      <c r="AY500" s="552" t="str">
        <f t="shared" si="860"/>
        <v>No</v>
      </c>
      <c r="AZ500" s="554" t="str">
        <f t="shared" si="861"/>
        <v/>
      </c>
      <c r="BA500" s="554" t="str">
        <f>IF(AZ500="","","Broken Wire (# Broken Subconductors)")</f>
        <v/>
      </c>
      <c r="BB500" s="552" t="str">
        <f>IF(AZ500="","",4)</f>
        <v/>
      </c>
      <c r="BC500" s="554" t="str">
        <f t="shared" si="864"/>
        <v/>
      </c>
      <c r="BD500" s="554" t="str">
        <f>IF(BC500="","","Broken Wire (# Broken Subconductors)")</f>
        <v/>
      </c>
      <c r="BE500" s="552" t="str">
        <f>IF(BC500="","",4)</f>
        <v/>
      </c>
      <c r="BF500" s="554" t="str">
        <f t="shared" si="867"/>
        <v/>
      </c>
      <c r="BG500" s="554" t="str">
        <f>IF(BF500="","","Broken Wire (# Broken Subconductors)")</f>
        <v/>
      </c>
      <c r="BH500" s="552" t="str">
        <f>IF(BF500="","",4)</f>
        <v/>
      </c>
      <c r="BI500" s="554" t="str">
        <f t="shared" si="870"/>
        <v/>
      </c>
      <c r="BJ500" s="554" t="str">
        <f>IF(BI500="","","Broken Wire (# Broken Subconductors)")</f>
        <v/>
      </c>
      <c r="BK500" s="552" t="str">
        <f>IF(BI500="","",4)</f>
        <v/>
      </c>
      <c r="BL500" s="554" t="str">
        <f t="shared" si="873"/>
        <v/>
      </c>
      <c r="BM500" s="554" t="str">
        <f>IF(BL500="","","Broken Wire (# Broken Subconductors)")</f>
        <v/>
      </c>
      <c r="BN500" s="552" t="str">
        <f>IF(BL500="","",4)</f>
        <v/>
      </c>
      <c r="BO500" s="554" t="str">
        <f t="shared" si="876"/>
        <v/>
      </c>
      <c r="BP500" s="554" t="str">
        <f>IF(BO500="","","Broken Wire (# Broken Subconductors)")</f>
        <v/>
      </c>
      <c r="BQ500" s="552" t="str">
        <f>IF(BO500="","",4)</f>
        <v/>
      </c>
      <c r="BR500" s="554"/>
      <c r="BS500" s="554"/>
      <c r="BT500" s="554"/>
      <c r="BU500" s="554"/>
      <c r="BV500" s="554"/>
      <c r="BW500" s="554"/>
      <c r="BX500" s="554"/>
      <c r="BY500" s="554"/>
      <c r="BZ500" s="554"/>
      <c r="CA500" s="554"/>
      <c r="CB500" s="554"/>
      <c r="CC500" s="554"/>
      <c r="CD500" s="554"/>
      <c r="CE500" s="554"/>
      <c r="CF500" s="554"/>
      <c r="CG500" s="554"/>
      <c r="CH500" s="554"/>
      <c r="CI500" s="554"/>
      <c r="CJ500" s="554"/>
      <c r="CK500" s="554"/>
      <c r="CL500" s="554"/>
      <c r="CM500" s="554"/>
      <c r="CN500" s="554"/>
      <c r="CO500" s="554"/>
      <c r="CP500" s="554"/>
      <c r="CQ500" s="554"/>
      <c r="CR500" s="554"/>
      <c r="CS500" s="554"/>
      <c r="CT500" s="554"/>
      <c r="CU500" s="554"/>
      <c r="CV500" s="554"/>
      <c r="CW500" s="554"/>
      <c r="CX500" s="554"/>
      <c r="CY500" s="554"/>
      <c r="CZ500" s="554"/>
      <c r="DA500" s="554"/>
      <c r="DB500" s="554"/>
      <c r="DC500" s="554"/>
      <c r="DD500" s="554"/>
      <c r="DE500" s="534"/>
      <c r="DF500" s="534"/>
      <c r="DG500" s="534"/>
    </row>
    <row r="501" spans="1:111" ht="15" hidden="1" x14ac:dyDescent="0.25">
      <c r="A501" s="549" t="str">
        <f>IF(B501=Control!$D$27,"1","-")</f>
        <v>-</v>
      </c>
      <c r="B501" s="555" t="s">
        <v>599</v>
      </c>
      <c r="C501" s="556" t="str">
        <f>IF('Weather Cases'!$E$40=0,"","DC/SC")</f>
        <v>DC/SC</v>
      </c>
      <c r="D501" s="556" t="s">
        <v>591</v>
      </c>
      <c r="E501" s="556" t="s">
        <v>22</v>
      </c>
      <c r="F501" s="556" t="s">
        <v>22</v>
      </c>
      <c r="G501" s="556" t="str">
        <f>IFERROR(IF(MID('Load Criteria'!X501,FIND("_",'Load Criteria'!X501,1)+1,1)=LEFT(Control!$D$23,1),"YES","-"),"-")</f>
        <v>-</v>
      </c>
      <c r="H501" s="549" t="s">
        <v>22</v>
      </c>
      <c r="I501" s="557" t="s">
        <v>359</v>
      </c>
      <c r="J501" s="508" t="s">
        <v>300</v>
      </c>
      <c r="K501" s="508" t="s">
        <v>599</v>
      </c>
      <c r="L501" s="508"/>
      <c r="M501" s="508"/>
      <c r="N501" s="508"/>
      <c r="O501" s="508"/>
      <c r="P501" s="395"/>
      <c r="Q501" s="395"/>
      <c r="R501" s="395"/>
      <c r="S501" s="395"/>
      <c r="T501" s="395"/>
      <c r="U501" s="255" t="s">
        <v>568</v>
      </c>
      <c r="V501" s="551"/>
      <c r="W501" s="542" t="str">
        <f t="shared" si="583"/>
        <v>EDW+XP NA+</v>
      </c>
      <c r="X501" s="552" t="str">
        <f t="shared" si="858"/>
        <v>EDW</v>
      </c>
      <c r="Y501" s="552" t="s">
        <v>433</v>
      </c>
      <c r="Z501" s="552" t="str">
        <f t="shared" si="859"/>
        <v>NA+</v>
      </c>
      <c r="AA501" s="552"/>
      <c r="AB501" s="552">
        <v>1</v>
      </c>
      <c r="AC501" s="552">
        <v>1</v>
      </c>
      <c r="AD501" s="552">
        <v>1</v>
      </c>
      <c r="AE501" s="552">
        <v>1</v>
      </c>
      <c r="AF501" s="552">
        <v>1</v>
      </c>
      <c r="AG501" s="542" t="s">
        <v>561</v>
      </c>
      <c r="AH501" s="552">
        <v>0</v>
      </c>
      <c r="AI501" s="552">
        <v>0</v>
      </c>
      <c r="AJ501" s="552">
        <v>1</v>
      </c>
      <c r="AK501" s="552">
        <v>1</v>
      </c>
      <c r="AL501" s="552">
        <v>1</v>
      </c>
      <c r="AM501" s="552">
        <v>0</v>
      </c>
      <c r="AN501" s="552">
        <v>0</v>
      </c>
      <c r="AO501" s="552">
        <v>1</v>
      </c>
      <c r="AP501" s="552">
        <v>1</v>
      </c>
      <c r="AQ501" s="552">
        <v>1</v>
      </c>
      <c r="AR501" s="552">
        <v>1</v>
      </c>
      <c r="AS501" s="552">
        <v>1</v>
      </c>
      <c r="AT501" s="552">
        <v>1</v>
      </c>
      <c r="AU501" s="552"/>
      <c r="AV501" s="553" t="s">
        <v>597</v>
      </c>
      <c r="AW501" s="554" t="s">
        <v>598</v>
      </c>
      <c r="AX501" s="552">
        <v>2</v>
      </c>
      <c r="AY501" s="552" t="str">
        <f t="shared" si="860"/>
        <v>No</v>
      </c>
      <c r="AZ501" s="554" t="str">
        <f t="shared" si="861"/>
        <v/>
      </c>
      <c r="BA501" s="554" t="str">
        <f t="shared" si="862"/>
        <v/>
      </c>
      <c r="BB501" s="552" t="str">
        <f t="shared" si="863"/>
        <v/>
      </c>
      <c r="BC501" s="554" t="str">
        <f t="shared" si="864"/>
        <v/>
      </c>
      <c r="BD501" s="554" t="str">
        <f t="shared" si="865"/>
        <v/>
      </c>
      <c r="BE501" s="552" t="str">
        <f t="shared" si="866"/>
        <v/>
      </c>
      <c r="BF501" s="554" t="str">
        <f t="shared" si="867"/>
        <v/>
      </c>
      <c r="BG501" s="554" t="str">
        <f t="shared" si="868"/>
        <v/>
      </c>
      <c r="BH501" s="552" t="str">
        <f t="shared" si="869"/>
        <v/>
      </c>
      <c r="BI501" s="554" t="str">
        <f t="shared" si="870"/>
        <v/>
      </c>
      <c r="BJ501" s="554" t="str">
        <f t="shared" si="871"/>
        <v/>
      </c>
      <c r="BK501" s="552" t="str">
        <f t="shared" si="872"/>
        <v/>
      </c>
      <c r="BL501" s="554" t="str">
        <f t="shared" si="873"/>
        <v/>
      </c>
      <c r="BM501" s="554" t="str">
        <f t="shared" si="874"/>
        <v/>
      </c>
      <c r="BN501" s="552" t="str">
        <f t="shared" si="875"/>
        <v/>
      </c>
      <c r="BO501" s="554" t="str">
        <f t="shared" si="876"/>
        <v/>
      </c>
      <c r="BP501" s="554" t="str">
        <f t="shared" si="877"/>
        <v/>
      </c>
      <c r="BQ501" s="552" t="str">
        <f t="shared" si="878"/>
        <v/>
      </c>
      <c r="BR501" s="554"/>
      <c r="BS501" s="554"/>
      <c r="BT501" s="554"/>
      <c r="BU501" s="554"/>
      <c r="BV501" s="554"/>
      <c r="BW501" s="554"/>
      <c r="BX501" s="554"/>
      <c r="BY501" s="554"/>
      <c r="BZ501" s="554"/>
      <c r="CA501" s="554"/>
      <c r="CB501" s="554"/>
      <c r="CC501" s="554"/>
      <c r="CD501" s="554"/>
      <c r="CE501" s="554"/>
      <c r="CF501" s="554"/>
      <c r="CG501" s="554"/>
      <c r="CH501" s="554"/>
      <c r="CI501" s="554"/>
      <c r="CJ501" s="554"/>
      <c r="CK501" s="554"/>
      <c r="CL501" s="554"/>
      <c r="CM501" s="554"/>
      <c r="CN501" s="554"/>
      <c r="CO501" s="554"/>
      <c r="CP501" s="554"/>
      <c r="CQ501" s="554"/>
      <c r="CR501" s="554"/>
      <c r="CS501" s="554"/>
      <c r="CT501" s="554"/>
      <c r="CU501" s="554"/>
      <c r="CV501" s="554"/>
      <c r="CW501" s="554"/>
      <c r="CX501" s="554"/>
      <c r="CY501" s="554"/>
      <c r="CZ501" s="554"/>
      <c r="DA501" s="554"/>
      <c r="DB501" s="554"/>
      <c r="DC501" s="554"/>
      <c r="DD501" s="554"/>
      <c r="DE501" s="534"/>
      <c r="DF501" s="534"/>
      <c r="DG501" s="534"/>
    </row>
    <row r="502" spans="1:111" ht="15" hidden="1" x14ac:dyDescent="0.25">
      <c r="A502" s="549" t="str">
        <f>IF(B502=Control!$D$27,"1","-")</f>
        <v>-</v>
      </c>
      <c r="B502" s="555" t="s">
        <v>599</v>
      </c>
      <c r="C502" s="556" t="str">
        <f>IF('Weather Cases'!$E$40=0,"","DC/SC")</f>
        <v>DC/SC</v>
      </c>
      <c r="D502" s="556" t="s">
        <v>591</v>
      </c>
      <c r="E502" s="556" t="s">
        <v>22</v>
      </c>
      <c r="F502" s="556" t="s">
        <v>22</v>
      </c>
      <c r="G502" s="556" t="str">
        <f>IFERROR(IF(MID('Load Criteria'!X502,FIND("_",'Load Criteria'!X502,1)+1,1)=LEFT(Control!$D$23,1),"YES","-"),"-")</f>
        <v>-</v>
      </c>
      <c r="H502" s="549" t="s">
        <v>22</v>
      </c>
      <c r="I502" s="557" t="s">
        <v>359</v>
      </c>
      <c r="J502" s="508" t="s">
        <v>300</v>
      </c>
      <c r="K502" s="508" t="s">
        <v>599</v>
      </c>
      <c r="L502" s="508"/>
      <c r="M502" s="508"/>
      <c r="N502" s="508"/>
      <c r="O502" s="508"/>
      <c r="P502" s="395"/>
      <c r="Q502" s="395"/>
      <c r="R502" s="395"/>
      <c r="S502" s="395"/>
      <c r="T502" s="395"/>
      <c r="U502" s="255" t="s">
        <v>574</v>
      </c>
      <c r="V502" s="551"/>
      <c r="W502" s="542" t="str">
        <f t="shared" si="583"/>
        <v>EDW+XP NA-</v>
      </c>
      <c r="X502" s="552" t="str">
        <f t="shared" si="858"/>
        <v>EDW</v>
      </c>
      <c r="Y502" s="552" t="s">
        <v>433</v>
      </c>
      <c r="Z502" s="552" t="str">
        <f t="shared" si="859"/>
        <v>NA-</v>
      </c>
      <c r="AA502" s="552"/>
      <c r="AB502" s="552">
        <v>1</v>
      </c>
      <c r="AC502" s="552">
        <v>1</v>
      </c>
      <c r="AD502" s="552">
        <v>1</v>
      </c>
      <c r="AE502" s="552">
        <v>1</v>
      </c>
      <c r="AF502" s="552">
        <v>1</v>
      </c>
      <c r="AG502" s="542" t="s">
        <v>561</v>
      </c>
      <c r="AH502" s="552">
        <v>0</v>
      </c>
      <c r="AI502" s="552">
        <v>0</v>
      </c>
      <c r="AJ502" s="552">
        <v>1</v>
      </c>
      <c r="AK502" s="552">
        <v>1</v>
      </c>
      <c r="AL502" s="552">
        <v>1</v>
      </c>
      <c r="AM502" s="552">
        <v>0</v>
      </c>
      <c r="AN502" s="552">
        <v>0</v>
      </c>
      <c r="AO502" s="552">
        <v>1</v>
      </c>
      <c r="AP502" s="552">
        <v>1</v>
      </c>
      <c r="AQ502" s="552">
        <v>1</v>
      </c>
      <c r="AR502" s="552">
        <v>1</v>
      </c>
      <c r="AS502" s="552">
        <v>1</v>
      </c>
      <c r="AT502" s="552">
        <v>1</v>
      </c>
      <c r="AU502" s="552"/>
      <c r="AV502" s="553" t="s">
        <v>597</v>
      </c>
      <c r="AW502" s="554" t="s">
        <v>598</v>
      </c>
      <c r="AX502" s="552">
        <v>2</v>
      </c>
      <c r="AY502" s="552" t="str">
        <f t="shared" si="860"/>
        <v>No</v>
      </c>
      <c r="AZ502" s="554" t="str">
        <f t="shared" si="861"/>
        <v/>
      </c>
      <c r="BA502" s="554" t="str">
        <f t="shared" si="862"/>
        <v/>
      </c>
      <c r="BB502" s="552" t="str">
        <f t="shared" si="863"/>
        <v/>
      </c>
      <c r="BC502" s="554" t="str">
        <f t="shared" si="864"/>
        <v/>
      </c>
      <c r="BD502" s="554" t="str">
        <f t="shared" si="865"/>
        <v/>
      </c>
      <c r="BE502" s="552" t="str">
        <f t="shared" si="866"/>
        <v/>
      </c>
      <c r="BF502" s="554" t="str">
        <f t="shared" si="867"/>
        <v/>
      </c>
      <c r="BG502" s="554" t="str">
        <f t="shared" si="868"/>
        <v/>
      </c>
      <c r="BH502" s="552" t="str">
        <f t="shared" si="869"/>
        <v/>
      </c>
      <c r="BI502" s="554" t="str">
        <f t="shared" si="870"/>
        <v/>
      </c>
      <c r="BJ502" s="554" t="str">
        <f t="shared" si="871"/>
        <v/>
      </c>
      <c r="BK502" s="552" t="str">
        <f t="shared" si="872"/>
        <v/>
      </c>
      <c r="BL502" s="554" t="str">
        <f t="shared" si="873"/>
        <v/>
      </c>
      <c r="BM502" s="554" t="str">
        <f t="shared" si="874"/>
        <v/>
      </c>
      <c r="BN502" s="552" t="str">
        <f t="shared" si="875"/>
        <v/>
      </c>
      <c r="BO502" s="554" t="str">
        <f t="shared" si="876"/>
        <v/>
      </c>
      <c r="BP502" s="554" t="str">
        <f t="shared" si="877"/>
        <v/>
      </c>
      <c r="BQ502" s="552" t="str">
        <f t="shared" si="878"/>
        <v/>
      </c>
      <c r="BR502" s="554"/>
      <c r="BS502" s="554"/>
      <c r="BT502" s="554"/>
      <c r="BU502" s="554"/>
      <c r="BV502" s="554"/>
      <c r="BW502" s="554"/>
      <c r="BX502" s="554"/>
      <c r="BY502" s="554"/>
      <c r="BZ502" s="554"/>
      <c r="CA502" s="554"/>
      <c r="CB502" s="554"/>
      <c r="CC502" s="554"/>
      <c r="CD502" s="554"/>
      <c r="CE502" s="554"/>
      <c r="CF502" s="554"/>
      <c r="CG502" s="554"/>
      <c r="CH502" s="554"/>
      <c r="CI502" s="554"/>
      <c r="CJ502" s="554"/>
      <c r="CK502" s="554"/>
      <c r="CL502" s="554"/>
      <c r="CM502" s="554"/>
      <c r="CN502" s="554"/>
      <c r="CO502" s="554"/>
      <c r="CP502" s="554"/>
      <c r="CQ502" s="554"/>
      <c r="CR502" s="554"/>
      <c r="CS502" s="554"/>
      <c r="CT502" s="554"/>
      <c r="CU502" s="554"/>
      <c r="CV502" s="554"/>
      <c r="CW502" s="554"/>
      <c r="CX502" s="554"/>
      <c r="CY502" s="554"/>
      <c r="CZ502" s="554"/>
      <c r="DA502" s="554"/>
      <c r="DB502" s="554"/>
      <c r="DC502" s="554"/>
      <c r="DD502" s="554"/>
      <c r="DE502" s="534"/>
      <c r="DF502" s="534"/>
      <c r="DG502" s="534"/>
    </row>
    <row r="503" spans="1:111" ht="15" hidden="1" x14ac:dyDescent="0.25">
      <c r="A503" s="549" t="str">
        <f>IF(B503=Control!$D$27,"1","-")</f>
        <v>-</v>
      </c>
      <c r="B503" s="555" t="s">
        <v>599</v>
      </c>
      <c r="C503" s="556" t="str">
        <f>IF('Weather Cases'!$E$40=0,"","DC/SC")</f>
        <v>DC/SC</v>
      </c>
      <c r="D503" s="556" t="s">
        <v>591</v>
      </c>
      <c r="E503" s="556" t="s">
        <v>22</v>
      </c>
      <c r="F503" s="556" t="s">
        <v>22</v>
      </c>
      <c r="G503" s="556" t="str">
        <f>IFERROR(IF(MID('Load Criteria'!X503,FIND("_",'Load Criteria'!X503,1)+1,1)=LEFT(Control!$D$23,1),"YES","-"),"-")</f>
        <v>YES</v>
      </c>
      <c r="H503" s="549" t="s">
        <v>22</v>
      </c>
      <c r="I503" s="557" t="s">
        <v>376</v>
      </c>
      <c r="J503" s="508" t="s">
        <v>300</v>
      </c>
      <c r="K503" s="508" t="s">
        <v>599</v>
      </c>
      <c r="L503" s="508"/>
      <c r="M503" s="508"/>
      <c r="N503" s="508"/>
      <c r="O503" s="508"/>
      <c r="P503" s="395"/>
      <c r="Q503" s="395"/>
      <c r="R503" s="395"/>
      <c r="S503" s="395"/>
      <c r="T503" s="395"/>
      <c r="U503" s="255" t="s">
        <v>568</v>
      </c>
      <c r="V503" s="551"/>
      <c r="W503" s="542" t="str">
        <f t="shared" si="583"/>
        <v>HWD_A+XP NA+</v>
      </c>
      <c r="X503" s="552" t="str">
        <f>'Weather Cases'!$H$68</f>
        <v>HWD_A</v>
      </c>
      <c r="Y503" s="552" t="s">
        <v>433</v>
      </c>
      <c r="Z503" s="552" t="str">
        <f t="shared" si="859"/>
        <v>NA+</v>
      </c>
      <c r="AA503" s="552"/>
      <c r="AB503" s="552">
        <v>1</v>
      </c>
      <c r="AC503" s="552">
        <v>1</v>
      </c>
      <c r="AD503" s="552">
        <v>1</v>
      </c>
      <c r="AE503" s="552">
        <v>1</v>
      </c>
      <c r="AF503" s="552">
        <v>1</v>
      </c>
      <c r="AG503" s="542" t="s">
        <v>561</v>
      </c>
      <c r="AH503" s="552">
        <v>0</v>
      </c>
      <c r="AI503" s="552">
        <v>0</v>
      </c>
      <c r="AJ503" s="552">
        <v>1</v>
      </c>
      <c r="AK503" s="552">
        <v>1</v>
      </c>
      <c r="AL503" s="552">
        <v>1</v>
      </c>
      <c r="AM503" s="552">
        <v>0</v>
      </c>
      <c r="AN503" s="552">
        <v>0</v>
      </c>
      <c r="AO503" s="552">
        <v>1</v>
      </c>
      <c r="AP503" s="552">
        <v>1</v>
      </c>
      <c r="AQ503" s="552">
        <v>1</v>
      </c>
      <c r="AR503" s="552">
        <v>1</v>
      </c>
      <c r="AS503" s="552">
        <v>1</v>
      </c>
      <c r="AT503" s="552">
        <v>1</v>
      </c>
      <c r="AU503" s="552"/>
      <c r="AV503" s="553" t="s">
        <v>597</v>
      </c>
      <c r="AW503" s="554" t="s">
        <v>598</v>
      </c>
      <c r="AX503" s="552">
        <v>4</v>
      </c>
      <c r="AY503" s="552" t="str">
        <f t="shared" si="860"/>
        <v>No</v>
      </c>
      <c r="AZ503" s="554" t="str">
        <f t="shared" si="861"/>
        <v/>
      </c>
      <c r="BA503" s="554" t="str">
        <f t="shared" si="862"/>
        <v/>
      </c>
      <c r="BB503" s="552" t="str">
        <f t="shared" si="863"/>
        <v/>
      </c>
      <c r="BC503" s="554" t="str">
        <f t="shared" si="864"/>
        <v/>
      </c>
      <c r="BD503" s="554" t="str">
        <f t="shared" si="865"/>
        <v/>
      </c>
      <c r="BE503" s="552" t="str">
        <f t="shared" si="866"/>
        <v/>
      </c>
      <c r="BF503" s="554" t="str">
        <f t="shared" si="867"/>
        <v/>
      </c>
      <c r="BG503" s="554" t="str">
        <f t="shared" si="868"/>
        <v/>
      </c>
      <c r="BH503" s="552" t="str">
        <f t="shared" si="869"/>
        <v/>
      </c>
      <c r="BI503" s="554" t="str">
        <f t="shared" si="870"/>
        <v/>
      </c>
      <c r="BJ503" s="554" t="str">
        <f t="shared" si="871"/>
        <v/>
      </c>
      <c r="BK503" s="552" t="str">
        <f t="shared" si="872"/>
        <v/>
      </c>
      <c r="BL503" s="554" t="str">
        <f t="shared" si="873"/>
        <v/>
      </c>
      <c r="BM503" s="554" t="str">
        <f t="shared" si="874"/>
        <v/>
      </c>
      <c r="BN503" s="552" t="str">
        <f t="shared" si="875"/>
        <v/>
      </c>
      <c r="BO503" s="554" t="str">
        <f t="shared" si="876"/>
        <v/>
      </c>
      <c r="BP503" s="554" t="str">
        <f t="shared" si="877"/>
        <v/>
      </c>
      <c r="BQ503" s="552" t="str">
        <f t="shared" si="878"/>
        <v/>
      </c>
      <c r="BR503" s="554"/>
      <c r="BS503" s="554"/>
      <c r="BT503" s="554"/>
      <c r="BU503" s="554"/>
      <c r="BV503" s="554"/>
      <c r="BW503" s="554"/>
      <c r="BX503" s="554"/>
      <c r="BY503" s="554"/>
      <c r="BZ503" s="554"/>
      <c r="CA503" s="554"/>
      <c r="CB503" s="554"/>
      <c r="CC503" s="554"/>
      <c r="CD503" s="554"/>
      <c r="CE503" s="554"/>
      <c r="CF503" s="554"/>
      <c r="CG503" s="554"/>
      <c r="CH503" s="554"/>
      <c r="CI503" s="554"/>
      <c r="CJ503" s="554"/>
      <c r="CK503" s="554"/>
      <c r="CL503" s="554"/>
      <c r="CM503" s="554"/>
      <c r="CN503" s="554"/>
      <c r="CO503" s="554"/>
      <c r="CP503" s="554"/>
      <c r="CQ503" s="554"/>
      <c r="CR503" s="554"/>
      <c r="CS503" s="554"/>
      <c r="CT503" s="554"/>
      <c r="CU503" s="554"/>
      <c r="CV503" s="554"/>
      <c r="CW503" s="554"/>
      <c r="CX503" s="554"/>
      <c r="CY503" s="554"/>
      <c r="CZ503" s="554"/>
      <c r="DA503" s="554"/>
      <c r="DB503" s="554"/>
      <c r="DC503" s="554"/>
      <c r="DD503" s="554"/>
      <c r="DE503" s="534"/>
      <c r="DF503" s="534"/>
      <c r="DG503" s="534"/>
    </row>
    <row r="504" spans="1:111" ht="15" hidden="1" x14ac:dyDescent="0.25">
      <c r="A504" s="549" t="str">
        <f>IF(B504=Control!$D$27,"1","-")</f>
        <v>-</v>
      </c>
      <c r="B504" s="555" t="s">
        <v>599</v>
      </c>
      <c r="C504" s="556" t="str">
        <f>IF('Weather Cases'!$E$40=0,"","DC/SC")</f>
        <v>DC/SC</v>
      </c>
      <c r="D504" s="556" t="s">
        <v>591</v>
      </c>
      <c r="E504" s="556" t="s">
        <v>22</v>
      </c>
      <c r="F504" s="556" t="s">
        <v>22</v>
      </c>
      <c r="G504" s="556" t="str">
        <f>IFERROR(IF(MID('Load Criteria'!X504,FIND("_",'Load Criteria'!X504,1)+1,1)=LEFT(Control!$D$23,1),"YES","-"),"-")</f>
        <v>YES</v>
      </c>
      <c r="H504" s="549" t="s">
        <v>22</v>
      </c>
      <c r="I504" s="557" t="s">
        <v>376</v>
      </c>
      <c r="J504" s="508" t="s">
        <v>300</v>
      </c>
      <c r="K504" s="508" t="s">
        <v>599</v>
      </c>
      <c r="L504" s="508"/>
      <c r="M504" s="508"/>
      <c r="N504" s="508"/>
      <c r="O504" s="508"/>
      <c r="P504" s="395"/>
      <c r="Q504" s="395"/>
      <c r="R504" s="395"/>
      <c r="S504" s="395"/>
      <c r="T504" s="395"/>
      <c r="U504" s="255" t="s">
        <v>574</v>
      </c>
      <c r="V504" s="551"/>
      <c r="W504" s="542" t="str">
        <f t="shared" si="583"/>
        <v>HWD_A+XP NA-</v>
      </c>
      <c r="X504" s="552" t="str">
        <f>'Weather Cases'!$H$68</f>
        <v>HWD_A</v>
      </c>
      <c r="Y504" s="552" t="s">
        <v>433</v>
      </c>
      <c r="Z504" s="552" t="str">
        <f t="shared" si="859"/>
        <v>NA-</v>
      </c>
      <c r="AA504" s="552"/>
      <c r="AB504" s="552">
        <v>1</v>
      </c>
      <c r="AC504" s="552">
        <v>1</v>
      </c>
      <c r="AD504" s="552">
        <v>1</v>
      </c>
      <c r="AE504" s="552">
        <v>1</v>
      </c>
      <c r="AF504" s="552">
        <v>1</v>
      </c>
      <c r="AG504" s="542" t="s">
        <v>561</v>
      </c>
      <c r="AH504" s="552">
        <v>0</v>
      </c>
      <c r="AI504" s="552">
        <v>0</v>
      </c>
      <c r="AJ504" s="552">
        <v>1</v>
      </c>
      <c r="AK504" s="552">
        <v>1</v>
      </c>
      <c r="AL504" s="552">
        <v>1</v>
      </c>
      <c r="AM504" s="552">
        <v>0</v>
      </c>
      <c r="AN504" s="552">
        <v>0</v>
      </c>
      <c r="AO504" s="552">
        <v>1</v>
      </c>
      <c r="AP504" s="552">
        <v>1</v>
      </c>
      <c r="AQ504" s="552">
        <v>1</v>
      </c>
      <c r="AR504" s="552">
        <v>1</v>
      </c>
      <c r="AS504" s="552">
        <v>1</v>
      </c>
      <c r="AT504" s="552">
        <v>1</v>
      </c>
      <c r="AU504" s="552"/>
      <c r="AV504" s="553" t="s">
        <v>597</v>
      </c>
      <c r="AW504" s="554" t="s">
        <v>598</v>
      </c>
      <c r="AX504" s="552">
        <v>4</v>
      </c>
      <c r="AY504" s="552" t="str">
        <f t="shared" si="860"/>
        <v>No</v>
      </c>
      <c r="AZ504" s="554" t="str">
        <f t="shared" si="861"/>
        <v/>
      </c>
      <c r="BA504" s="554" t="str">
        <f t="shared" si="862"/>
        <v/>
      </c>
      <c r="BB504" s="552" t="str">
        <f t="shared" si="863"/>
        <v/>
      </c>
      <c r="BC504" s="554" t="str">
        <f t="shared" si="864"/>
        <v/>
      </c>
      <c r="BD504" s="554" t="str">
        <f t="shared" si="865"/>
        <v/>
      </c>
      <c r="BE504" s="552" t="str">
        <f t="shared" si="866"/>
        <v/>
      </c>
      <c r="BF504" s="554" t="str">
        <f t="shared" si="867"/>
        <v/>
      </c>
      <c r="BG504" s="554" t="str">
        <f t="shared" si="868"/>
        <v/>
      </c>
      <c r="BH504" s="552" t="str">
        <f t="shared" si="869"/>
        <v/>
      </c>
      <c r="BI504" s="554" t="str">
        <f t="shared" si="870"/>
        <v/>
      </c>
      <c r="BJ504" s="554" t="str">
        <f t="shared" si="871"/>
        <v/>
      </c>
      <c r="BK504" s="552" t="str">
        <f t="shared" si="872"/>
        <v/>
      </c>
      <c r="BL504" s="554" t="str">
        <f t="shared" si="873"/>
        <v/>
      </c>
      <c r="BM504" s="554" t="str">
        <f t="shared" si="874"/>
        <v/>
      </c>
      <c r="BN504" s="552" t="str">
        <f t="shared" si="875"/>
        <v/>
      </c>
      <c r="BO504" s="554" t="str">
        <f t="shared" si="876"/>
        <v/>
      </c>
      <c r="BP504" s="554" t="str">
        <f t="shared" si="877"/>
        <v/>
      </c>
      <c r="BQ504" s="552" t="str">
        <f t="shared" si="878"/>
        <v/>
      </c>
      <c r="BR504" s="554"/>
      <c r="BS504" s="554"/>
      <c r="BT504" s="554"/>
      <c r="BU504" s="554"/>
      <c r="BV504" s="554"/>
      <c r="BW504" s="554"/>
      <c r="BX504" s="554"/>
      <c r="BY504" s="554"/>
      <c r="BZ504" s="554"/>
      <c r="CA504" s="554"/>
      <c r="CB504" s="554"/>
      <c r="CC504" s="554"/>
      <c r="CD504" s="554"/>
      <c r="CE504" s="554"/>
      <c r="CF504" s="554"/>
      <c r="CG504" s="554"/>
      <c r="CH504" s="554"/>
      <c r="CI504" s="554"/>
      <c r="CJ504" s="554"/>
      <c r="CK504" s="554"/>
      <c r="CL504" s="554"/>
      <c r="CM504" s="554"/>
      <c r="CN504" s="554"/>
      <c r="CO504" s="554"/>
      <c r="CP504" s="554"/>
      <c r="CQ504" s="554"/>
      <c r="CR504" s="554"/>
      <c r="CS504" s="554"/>
      <c r="CT504" s="554"/>
      <c r="CU504" s="554"/>
      <c r="CV504" s="554"/>
      <c r="CW504" s="554"/>
      <c r="CX504" s="554"/>
      <c r="CY504" s="554"/>
      <c r="CZ504" s="554"/>
      <c r="DA504" s="554"/>
      <c r="DB504" s="554"/>
      <c r="DC504" s="554"/>
      <c r="DD504" s="554"/>
      <c r="DE504" s="534"/>
      <c r="DF504" s="534"/>
      <c r="DG504" s="534"/>
    </row>
  </sheetData>
  <sheetProtection autoFilter="0"/>
  <autoFilter ref="A7:AM504" xr:uid="{00000000-0009-0000-0000-000006000000}">
    <filterColumn colId="0">
      <filters>
        <filter val="1"/>
      </filters>
    </filterColumn>
    <filterColumn colId="1">
      <filters>
        <filter val="ALL"/>
        <filter val="TWR"/>
      </filters>
    </filterColumn>
    <filterColumn colId="2">
      <filters>
        <filter val="DC"/>
        <filter val="DC/SC"/>
      </filters>
    </filterColumn>
  </autoFilter>
  <sortState xmlns:xlrd2="http://schemas.microsoft.com/office/spreadsheetml/2017/richdata2" ref="B2:D14">
    <sortCondition ref="C2:C14"/>
  </sortState>
  <mergeCells count="3">
    <mergeCell ref="A2:G2"/>
    <mergeCell ref="H2:I2"/>
    <mergeCell ref="DE6:DG6"/>
  </mergeCells>
  <hyperlinks>
    <hyperlink ref="AE4" location="Control!A1" display="CONTROL INPUT" xr:uid="{00000000-0004-0000-0600-000000000000}"/>
    <hyperlink ref="AE2" location="Instructions!A1" display="INSTRUCTIONS" xr:uid="{00000000-0004-0000-0600-000001000000}"/>
    <hyperlink ref="AH2" location="'Structure Groups'!A1" display="STRUCTURE GROUPS" xr:uid="{00000000-0004-0000-0600-000002000000}"/>
    <hyperlink ref="AH3" location="'Weather Cases'!A1" display="WEATHER CASES" xr:uid="{00000000-0004-0000-0600-000003000000}"/>
    <hyperlink ref="AE3" location="'Staking Table'!A1" display="STAKING TABLE" xr:uid="{00000000-0004-0000-0600-000004000000}"/>
    <hyperlink ref="AH4" location="'pls-cadd folders'!A1" display="PLS-CADD" xr:uid="{00000000-0004-0000-0600-000005000000}"/>
  </hyperlinks>
  <pageMargins left="0.23622047244094491" right="0.23622047244094491" top="0.74803149606299213" bottom="0.74803149606299213" header="0.31496062992125984" footer="0.31496062992125984"/>
  <pageSetup paperSize="8" scale="44" fitToWidth="2" fitToHeight="52" orientation="landscape" r:id="rId1"/>
  <headerFooter>
    <oddHeader>&amp;L&amp;G&amp;RPage &amp;P of &amp;N</oddHeader>
    <oddFooter>&amp;LAD-TE&amp;C&amp;F : &amp;A&amp;R&amp;D</oddFooter>
  </headerFooter>
  <ignoredErrors>
    <ignoredError sqref="H151" formula="1"/>
  </ignoredErrors>
  <legacyDrawing r:id="rId2"/>
  <legacyDrawingHF r:id="rId3"/>
  <extLst>
    <ext xmlns:x14="http://schemas.microsoft.com/office/spreadsheetml/2009/9/main" uri="{78C0D931-6437-407d-A8EE-F0AAD7539E65}">
      <x14:conditionalFormattings>
        <x14:conditionalFormatting xmlns:xm="http://schemas.microsoft.com/office/excel/2006/main">
          <x14:cfRule type="expression" priority="168" id="{8DDF88FE-32F2-48C4-8170-441DF2B95740}">
            <xm:f>ISNA(MATCH(X9,'Weather Cases'!$H$10:$H$92,0))</xm:f>
            <x14:dxf>
              <fill>
                <patternFill>
                  <bgColor rgb="FFFF0000"/>
                </patternFill>
              </fill>
            </x14:dxf>
          </x14:cfRule>
          <xm:sqref>X9:X149 X151:X172 X174:X195 X197:X218 X458:X469 X495:X504</xm:sqref>
        </x14:conditionalFormatting>
        <x14:conditionalFormatting xmlns:xm="http://schemas.microsoft.com/office/excel/2006/main">
          <x14:cfRule type="expression" priority="38" id="{86EC5BE3-4140-4A95-AAA2-B710BC1FF559}">
            <xm:f>ISNA(MATCH(X220,'Weather Cases'!$H$10:$H$92,0))</xm:f>
            <x14:dxf>
              <fill>
                <patternFill>
                  <bgColor rgb="FFFF0000"/>
                </patternFill>
              </fill>
            </x14:dxf>
          </x14:cfRule>
          <xm:sqref>X220:X287</xm:sqref>
        </x14:conditionalFormatting>
        <x14:conditionalFormatting xmlns:xm="http://schemas.microsoft.com/office/excel/2006/main">
          <x14:cfRule type="expression" priority="37" id="{0AD433EE-1137-471F-8618-F61B16E24959}">
            <xm:f>ISNA(MATCH(X289,'Weather Cases'!$H$10:$H$92,0))</xm:f>
            <x14:dxf>
              <fill>
                <patternFill>
                  <bgColor rgb="FFFF0000"/>
                </patternFill>
              </fill>
            </x14:dxf>
          </x14:cfRule>
          <xm:sqref>X289:X356</xm:sqref>
        </x14:conditionalFormatting>
        <x14:conditionalFormatting xmlns:xm="http://schemas.microsoft.com/office/excel/2006/main">
          <x14:cfRule type="expression" priority="36" id="{098E6084-66BE-4E20-8129-85342478ACA5}">
            <xm:f>ISNA(MATCH(X358,'Weather Cases'!$H$10:$H$92,0))</xm:f>
            <x14:dxf>
              <fill>
                <patternFill>
                  <bgColor rgb="FFFF0000"/>
                </patternFill>
              </fill>
            </x14:dxf>
          </x14:cfRule>
          <xm:sqref>X358:X413</xm:sqref>
        </x14:conditionalFormatting>
        <x14:conditionalFormatting xmlns:xm="http://schemas.microsoft.com/office/excel/2006/main">
          <x14:cfRule type="expression" priority="1" id="{618D16D3-9C26-45B6-8CB9-E25EDB03CF00}">
            <xm:f>ISNA(MATCH(X415,'Weather Cases'!$H$10:$H$92,0))</xm:f>
            <x14:dxf>
              <fill>
                <patternFill>
                  <bgColor rgb="FFFF0000"/>
                </patternFill>
              </fill>
            </x14:dxf>
          </x14:cfRule>
          <xm:sqref>X415:X456</xm:sqref>
        </x14:conditionalFormatting>
        <x14:conditionalFormatting xmlns:xm="http://schemas.microsoft.com/office/excel/2006/main">
          <x14:cfRule type="expression" priority="41" id="{03F447C1-C859-4191-A28A-49EEF15A2D02}">
            <xm:f>ISNA(MATCH(X471,'Weather Cases'!$H$10:$H$92,0))</xm:f>
            <x14:dxf>
              <fill>
                <patternFill>
                  <bgColor rgb="FFFF0000"/>
                </patternFill>
              </fill>
            </x14:dxf>
          </x14:cfRule>
          <xm:sqref>X471:X493</xm:sqref>
        </x14:conditionalFormatting>
      </x14:conditionalFormatting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R85"/>
  <sheetViews>
    <sheetView showGridLines="0" zoomScaleNormal="100" workbookViewId="0">
      <selection activeCell="D24" sqref="D24"/>
    </sheetView>
  </sheetViews>
  <sheetFormatPr defaultColWidth="8.85546875" defaultRowHeight="12.75" x14ac:dyDescent="0.2"/>
  <cols>
    <col min="1" max="1" width="14.7109375" customWidth="1"/>
    <col min="2" max="2" width="33.7109375" customWidth="1"/>
    <col min="3" max="3" width="8.28515625" customWidth="1"/>
    <col min="4" max="4" width="9.140625" customWidth="1"/>
    <col min="5" max="5" width="9.42578125" customWidth="1"/>
    <col min="6" max="9" width="11.85546875" customWidth="1"/>
    <col min="10" max="10" width="28.85546875" customWidth="1"/>
    <col min="11" max="11" width="12.7109375" customWidth="1"/>
    <col min="12" max="12" width="10.42578125" customWidth="1"/>
    <col min="13" max="13" width="9.42578125" bestFit="1" customWidth="1"/>
    <col min="16" max="16" width="65.85546875" customWidth="1"/>
    <col min="17" max="17" width="9.7109375" customWidth="1"/>
  </cols>
  <sheetData>
    <row r="1" spans="1:16" x14ac:dyDescent="0.2">
      <c r="A1" s="304" t="s">
        <v>123</v>
      </c>
      <c r="B1" s="304" t="s">
        <v>141</v>
      </c>
      <c r="C1" s="280" t="s">
        <v>143</v>
      </c>
      <c r="D1" s="122"/>
      <c r="E1" s="367" t="s">
        <v>147</v>
      </c>
      <c r="F1" s="368"/>
      <c r="G1" s="280" t="s">
        <v>137</v>
      </c>
      <c r="I1" s="328" t="s">
        <v>149</v>
      </c>
      <c r="K1" s="122"/>
      <c r="L1" s="122"/>
      <c r="M1" s="122"/>
    </row>
    <row r="2" spans="1:16" ht="18.75" x14ac:dyDescent="0.3">
      <c r="B2" s="162" t="s">
        <v>600</v>
      </c>
      <c r="C2" s="280"/>
      <c r="D2" s="122"/>
      <c r="E2" s="122"/>
      <c r="F2" s="280"/>
      <c r="G2" s="122"/>
      <c r="H2" s="280"/>
      <c r="I2" s="122"/>
      <c r="K2" s="122"/>
      <c r="L2" s="122"/>
      <c r="M2" s="122"/>
      <c r="N2" s="213" t="str">
        <f>"REVISION CONTROL for "&amp;Control!$B$4&amp;" "&amp;Control!$D$4&amp;" Rev "&amp;Control!H4</f>
        <v>REVISION CONTROL for GIP_Standard T1-T3 Rev A</v>
      </c>
    </row>
    <row r="3" spans="1:16" x14ac:dyDescent="0.2">
      <c r="B3" s="493" t="s">
        <v>601</v>
      </c>
      <c r="C3" s="280"/>
      <c r="D3" s="122"/>
      <c r="E3" s="122"/>
      <c r="F3" s="280"/>
      <c r="G3" s="122"/>
      <c r="H3" s="280"/>
      <c r="I3" s="122"/>
      <c r="J3" s="489"/>
      <c r="K3" s="122"/>
      <c r="L3" s="122"/>
      <c r="M3" s="122"/>
      <c r="N3" s="122" t="s">
        <v>602</v>
      </c>
      <c r="O3" s="3" t="s">
        <v>2</v>
      </c>
      <c r="P3" t="s">
        <v>603</v>
      </c>
    </row>
    <row r="4" spans="1:16" s="227" customFormat="1" ht="15.75" x14ac:dyDescent="0.2">
      <c r="A4" s="298" t="s">
        <v>604</v>
      </c>
      <c r="B4" s="363" t="s">
        <v>1140</v>
      </c>
      <c r="C4" s="298" t="s">
        <v>605</v>
      </c>
      <c r="D4" s="602" t="s">
        <v>1138</v>
      </c>
      <c r="E4" s="603"/>
      <c r="F4" s="604"/>
      <c r="G4" s="305" t="s">
        <v>606</v>
      </c>
      <c r="H4" s="289" t="s">
        <v>24</v>
      </c>
      <c r="N4" s="515" t="str">
        <f>H4</f>
        <v>A</v>
      </c>
      <c r="O4" s="593" t="s">
        <v>1133</v>
      </c>
      <c r="P4" s="517" t="s">
        <v>1134</v>
      </c>
    </row>
    <row r="5" spans="1:16" s="227" customFormat="1" ht="15.75" x14ac:dyDescent="0.2">
      <c r="B5" s="300"/>
      <c r="C5" s="301" t="s">
        <v>607</v>
      </c>
      <c r="D5" s="364" t="s">
        <v>608</v>
      </c>
      <c r="E5" s="172"/>
      <c r="F5" s="300"/>
      <c r="I5" s="300"/>
      <c r="M5" s="300"/>
      <c r="N5" s="515"/>
      <c r="O5" s="516"/>
      <c r="P5" s="518"/>
    </row>
    <row r="6" spans="1:16" s="227" customFormat="1" ht="15.75" x14ac:dyDescent="0.2">
      <c r="B6" s="300"/>
      <c r="C6" s="301" t="str">
        <f>IF(D5="Y","Wind Return Period (years) to be adopted for cable tension limits", "Line Reliability (return period, years)")</f>
        <v>Line Reliability (return period, years)</v>
      </c>
      <c r="D6" s="289">
        <v>300</v>
      </c>
      <c r="E6" s="172" t="s">
        <v>609</v>
      </c>
      <c r="F6" s="300"/>
      <c r="H6" s="300"/>
      <c r="I6" s="300"/>
      <c r="M6" s="300"/>
      <c r="N6" s="515"/>
      <c r="O6" s="516"/>
      <c r="P6" s="518"/>
    </row>
    <row r="7" spans="1:16" s="227" customFormat="1" ht="15.75" x14ac:dyDescent="0.2">
      <c r="C7" s="301" t="s">
        <v>610</v>
      </c>
      <c r="D7" s="605" t="str">
        <f>B4&amp;"_"&amp;D4&amp;"_RP"&amp;Selected_Line_Reliability&amp;"yr_Rev"&amp;H4&amp;" Loading Criteria.xlsx"</f>
        <v>GIP_Standard_T1-T3_RP300yr_RevA Loading Criteria.xlsx</v>
      </c>
      <c r="E7" s="605"/>
      <c r="F7" s="605"/>
      <c r="G7" s="605"/>
      <c r="H7" s="605"/>
      <c r="I7" s="605"/>
      <c r="M7" s="300"/>
      <c r="N7" s="515"/>
      <c r="O7" s="516"/>
      <c r="P7" s="518"/>
    </row>
    <row r="8" spans="1:16" s="227" customFormat="1" ht="15.75" x14ac:dyDescent="0.2">
      <c r="C8" s="301" t="s">
        <v>611</v>
      </c>
      <c r="D8" s="605" t="str">
        <f>B4&amp;"_"&amp;D4&amp;"_Rev"&amp;H4&amp;IF(D5="Y"," Vulnerability Loading"," Reliability Loading "&amp;Selected_Line_Reliability&amp;" yrRP")&amp;".cri"</f>
        <v>GIP_Standard_T1-T3_RevA Reliability Loading 300 yrRP.cri</v>
      </c>
      <c r="E8" s="605"/>
      <c r="F8" s="605"/>
      <c r="G8" s="606"/>
      <c r="H8" s="606"/>
      <c r="I8" s="606"/>
      <c r="M8" s="300"/>
      <c r="N8" s="515"/>
      <c r="O8" s="516"/>
      <c r="P8" s="518"/>
    </row>
    <row r="9" spans="1:16" s="227" customFormat="1" x14ac:dyDescent="0.2">
      <c r="B9" s="300"/>
      <c r="C9" s="310" t="s">
        <v>612</v>
      </c>
      <c r="D9" s="362" t="s">
        <v>613</v>
      </c>
      <c r="G9" s="291" t="s">
        <v>614</v>
      </c>
      <c r="H9" s="291" t="s">
        <v>615</v>
      </c>
      <c r="I9" s="291" t="s">
        <v>365</v>
      </c>
      <c r="J9" s="291" t="s">
        <v>616</v>
      </c>
      <c r="M9" s="300"/>
      <c r="N9" s="515"/>
      <c r="O9" s="516"/>
      <c r="P9" s="518"/>
    </row>
    <row r="10" spans="1:16" s="227" customFormat="1" ht="15.75" x14ac:dyDescent="0.2">
      <c r="B10" s="21" t="s">
        <v>617</v>
      </c>
      <c r="C10" s="303">
        <v>1</v>
      </c>
      <c r="D10" s="607" t="s">
        <v>1053</v>
      </c>
      <c r="E10" s="607"/>
      <c r="F10" s="607"/>
      <c r="G10" s="290">
        <v>0.22</v>
      </c>
      <c r="H10" s="290">
        <v>0.7</v>
      </c>
      <c r="I10" s="353">
        <v>120</v>
      </c>
      <c r="J10" s="290" t="s">
        <v>1139</v>
      </c>
      <c r="M10" s="300"/>
      <c r="N10" s="515"/>
      <c r="O10" s="516"/>
      <c r="P10" s="518"/>
    </row>
    <row r="11" spans="1:16" s="227" customFormat="1" ht="15.75" x14ac:dyDescent="0.2">
      <c r="B11" s="21" t="s">
        <v>619</v>
      </c>
      <c r="C11" s="303">
        <v>2</v>
      </c>
      <c r="D11" s="602" t="s">
        <v>620</v>
      </c>
      <c r="E11" s="603"/>
      <c r="F11" s="604"/>
      <c r="G11" s="290">
        <v>0.22</v>
      </c>
      <c r="H11" s="290">
        <v>0.7</v>
      </c>
      <c r="I11" s="353">
        <v>90</v>
      </c>
      <c r="J11" s="290" t="s">
        <v>1131</v>
      </c>
      <c r="M11" s="300"/>
      <c r="N11" s="515"/>
      <c r="O11" s="516"/>
      <c r="P11" s="518"/>
    </row>
    <row r="12" spans="1:16" s="227" customFormat="1" ht="15.75" x14ac:dyDescent="0.2">
      <c r="B12" s="21" t="s">
        <v>619</v>
      </c>
      <c r="C12" s="303">
        <v>3</v>
      </c>
      <c r="D12" s="602" t="s">
        <v>620</v>
      </c>
      <c r="E12" s="603"/>
      <c r="F12" s="604"/>
      <c r="G12" s="290">
        <v>0.23</v>
      </c>
      <c r="H12" s="290">
        <v>0.7</v>
      </c>
      <c r="I12" s="353">
        <v>120</v>
      </c>
      <c r="J12" s="290" t="s">
        <v>1126</v>
      </c>
      <c r="M12" s="300"/>
      <c r="N12" s="515"/>
      <c r="O12" s="516"/>
      <c r="P12" s="518"/>
    </row>
    <row r="13" spans="1:16" s="227" customFormat="1" ht="15.75" x14ac:dyDescent="0.2">
      <c r="B13" s="21" t="s">
        <v>619</v>
      </c>
      <c r="C13" s="303">
        <v>4</v>
      </c>
      <c r="D13" s="602" t="s">
        <v>620</v>
      </c>
      <c r="E13" s="603"/>
      <c r="F13" s="604"/>
      <c r="G13" s="290"/>
      <c r="H13" s="290"/>
      <c r="I13" s="353"/>
      <c r="J13" s="290"/>
      <c r="M13" s="300"/>
      <c r="N13" s="515"/>
      <c r="O13" s="516"/>
      <c r="P13" s="518"/>
    </row>
    <row r="14" spans="1:16" s="227" customFormat="1" ht="15.75" x14ac:dyDescent="0.2">
      <c r="B14" s="299" t="s">
        <v>621</v>
      </c>
      <c r="C14" s="303">
        <v>1</v>
      </c>
      <c r="D14" s="602" t="s">
        <v>620</v>
      </c>
      <c r="E14" s="603"/>
      <c r="F14" s="604"/>
      <c r="G14" s="290">
        <v>0.22</v>
      </c>
      <c r="H14" s="290">
        <v>0.7</v>
      </c>
      <c r="I14"/>
      <c r="J14" s="290" t="s">
        <v>1130</v>
      </c>
      <c r="K14" s="172"/>
      <c r="L14" s="300"/>
      <c r="M14" s="300"/>
      <c r="N14" s="515"/>
      <c r="O14" s="516"/>
      <c r="P14" s="518"/>
    </row>
    <row r="15" spans="1:16" s="227" customFormat="1" ht="15.75" x14ac:dyDescent="0.2">
      <c r="B15" s="299" t="s">
        <v>621</v>
      </c>
      <c r="C15" s="303">
        <v>2</v>
      </c>
      <c r="D15" s="602" t="s">
        <v>620</v>
      </c>
      <c r="E15" s="603"/>
      <c r="F15" s="604"/>
      <c r="G15" s="290"/>
      <c r="H15" s="290"/>
      <c r="I15"/>
      <c r="J15" s="290"/>
      <c r="K15" s="172"/>
      <c r="L15" s="300"/>
      <c r="M15" s="300"/>
      <c r="N15" s="300"/>
    </row>
    <row r="16" spans="1:16" s="227" customFormat="1" ht="15.75" x14ac:dyDescent="0.2">
      <c r="B16" s="299" t="s">
        <v>621</v>
      </c>
      <c r="C16" s="303">
        <v>3</v>
      </c>
      <c r="D16" s="602" t="s">
        <v>620</v>
      </c>
      <c r="E16" s="603"/>
      <c r="F16" s="604"/>
      <c r="G16" s="290"/>
      <c r="H16" s="290"/>
      <c r="I16"/>
      <c r="J16" s="290"/>
      <c r="K16" s="172"/>
      <c r="L16" s="300"/>
      <c r="M16" s="300"/>
      <c r="N16" s="300"/>
    </row>
    <row r="17" spans="1:18" s="227" customFormat="1" ht="15.75" x14ac:dyDescent="0.2">
      <c r="B17" s="299" t="s">
        <v>621</v>
      </c>
      <c r="C17" s="303">
        <v>4</v>
      </c>
      <c r="D17" s="602" t="s">
        <v>620</v>
      </c>
      <c r="E17" s="603"/>
      <c r="F17" s="604"/>
      <c r="G17" s="290"/>
      <c r="H17" s="290"/>
      <c r="I17"/>
      <c r="J17" s="290"/>
      <c r="K17" s="172"/>
      <c r="L17" s="300"/>
      <c r="M17" s="300"/>
      <c r="N17" s="300"/>
    </row>
    <row r="18" spans="1:18" s="227" customFormat="1" ht="15.75" x14ac:dyDescent="0.2">
      <c r="A18" s="300"/>
      <c r="B18" s="302"/>
      <c r="C18" s="298" t="s">
        <v>622</v>
      </c>
      <c r="D18" s="300"/>
      <c r="E18" s="300"/>
      <c r="F18" s="300"/>
      <c r="G18" s="300"/>
      <c r="N18" s="300"/>
    </row>
    <row r="19" spans="1:18" s="227" customFormat="1" ht="15.75" x14ac:dyDescent="0.2">
      <c r="A19" s="300"/>
      <c r="B19" s="300"/>
      <c r="C19" s="492" t="s">
        <v>623</v>
      </c>
      <c r="D19" s="289" t="s">
        <v>1113</v>
      </c>
      <c r="E19" s="384" t="str">
        <f>IF(D19="SS","Enter site specific wind speeds to Tab Staking Table",IF(D19="GL","Provide additional data below &amp; employ generic wind speeds given in Tab Staking table",""))</f>
        <v>Enter site specific wind speeds to Tab Staking Table</v>
      </c>
      <c r="F19" s="300"/>
      <c r="G19" s="300"/>
      <c r="N19" s="300"/>
    </row>
    <row r="20" spans="1:18" s="227" customFormat="1" ht="15.75" x14ac:dyDescent="0.2">
      <c r="A20" s="300"/>
      <c r="B20" s="300"/>
      <c r="C20" s="492" t="s">
        <v>624</v>
      </c>
      <c r="D20" s="289" t="s">
        <v>633</v>
      </c>
      <c r="E20" s="384" t="s">
        <v>625</v>
      </c>
      <c r="F20" s="300"/>
      <c r="G20" s="300"/>
    </row>
    <row r="21" spans="1:18" s="227" customFormat="1" ht="15.75" x14ac:dyDescent="0.2">
      <c r="A21" s="300"/>
      <c r="B21" s="300"/>
      <c r="C21" s="492" t="s">
        <v>626</v>
      </c>
      <c r="D21" s="289" t="s">
        <v>608</v>
      </c>
      <c r="E21" s="384" t="s">
        <v>627</v>
      </c>
      <c r="F21" s="300"/>
      <c r="G21" s="300"/>
      <c r="J21" s="381"/>
    </row>
    <row r="22" spans="1:18" s="227" customFormat="1" ht="15.75" x14ac:dyDescent="0.2">
      <c r="A22" s="300"/>
      <c r="B22" s="300"/>
      <c r="C22" s="492" t="s">
        <v>628</v>
      </c>
      <c r="D22" s="289">
        <v>800</v>
      </c>
      <c r="E22" s="384" t="str">
        <f>IF(ISNA(MATCH(D22,Altitude,0)),"Outside of allowable range - see Tab 'Structure Groups'","m (NZGD2000 - refer ADEGL.02.25)")</f>
        <v>m (NZGD2000 - refer ADEGL.02.25)</v>
      </c>
      <c r="F22" s="300"/>
      <c r="G22" s="303"/>
      <c r="J22" s="381"/>
    </row>
    <row r="23" spans="1:18" s="227" customFormat="1" ht="15.75" x14ac:dyDescent="0.2">
      <c r="A23" s="300"/>
      <c r="B23" s="300"/>
      <c r="C23" s="492" t="s">
        <v>629</v>
      </c>
      <c r="D23" s="289" t="s">
        <v>826</v>
      </c>
      <c r="E23" s="384" t="s">
        <v>631</v>
      </c>
      <c r="F23" s="300"/>
      <c r="G23" s="300"/>
    </row>
    <row r="24" spans="1:18" s="227" customFormat="1" ht="15.75" x14ac:dyDescent="0.2">
      <c r="A24" s="300"/>
      <c r="B24" s="300"/>
      <c r="C24" s="492" t="s">
        <v>632</v>
      </c>
      <c r="D24" s="289" t="s">
        <v>633</v>
      </c>
      <c r="E24" s="384" t="str">
        <f>IF(OR(AND(D20="N",D24="S"),AND(D20="S",D24="N0")),"Not applicable to selected Island refer App B. Fig B-2","Ref Appendix B. Figure B-2")</f>
        <v>Ref Appendix B. Figure B-2</v>
      </c>
      <c r="F24" s="300"/>
      <c r="G24" s="300"/>
    </row>
    <row r="25" spans="1:18" s="227" customFormat="1" ht="15.75" x14ac:dyDescent="0.2">
      <c r="A25" s="300"/>
      <c r="B25" s="300"/>
      <c r="C25" s="492" t="s">
        <v>634</v>
      </c>
      <c r="D25" s="289">
        <v>1</v>
      </c>
      <c r="E25" s="384" t="str">
        <f>"RSL Loading based on "&amp;TEXT(D25*100,"000")&amp;"Pa Wind"</f>
        <v>RSL Loading based on 100Pa Wind</v>
      </c>
      <c r="F25" s="300"/>
      <c r="G25" s="300"/>
    </row>
    <row r="26" spans="1:18" s="227" customFormat="1" ht="15.75" x14ac:dyDescent="0.2">
      <c r="A26" s="300"/>
      <c r="B26" s="300"/>
      <c r="C26" s="492" t="s">
        <v>635</v>
      </c>
      <c r="D26" s="289" t="s">
        <v>608</v>
      </c>
      <c r="E26" s="500" t="str">
        <f>IF(D26="N","In Staking table identify which structures are 'STOP' Structures","")</f>
        <v>In Staking table identify which structures are 'STOP' Structures</v>
      </c>
      <c r="F26" s="300"/>
      <c r="G26" s="300"/>
    </row>
    <row r="27" spans="1:18" s="227" customFormat="1" ht="15.75" x14ac:dyDescent="0.2">
      <c r="A27" s="300"/>
      <c r="B27" s="300"/>
      <c r="C27" s="492" t="s">
        <v>636</v>
      </c>
      <c r="D27" s="289" t="s">
        <v>608</v>
      </c>
      <c r="E27" s="384" t="s">
        <v>637</v>
      </c>
      <c r="F27" s="300"/>
      <c r="G27" s="300"/>
      <c r="H27" s="300"/>
    </row>
    <row r="28" spans="1:18" s="227" customFormat="1" x14ac:dyDescent="0.2">
      <c r="A28" s="300"/>
      <c r="B28" s="300"/>
      <c r="C28" s="299"/>
      <c r="D28" s="299"/>
      <c r="E28" s="384" t="s">
        <v>638</v>
      </c>
      <c r="F28" s="300"/>
      <c r="G28" s="300"/>
      <c r="H28" s="300"/>
    </row>
    <row r="29" spans="1:18" s="227" customFormat="1" x14ac:dyDescent="0.2">
      <c r="A29" s="300"/>
      <c r="C29" s="313" t="s">
        <v>639</v>
      </c>
      <c r="D29" s="300" t="s">
        <v>640</v>
      </c>
      <c r="E29" s="300"/>
      <c r="F29" s="300"/>
      <c r="G29" s="300"/>
    </row>
    <row r="30" spans="1:18" s="227" customFormat="1" ht="14.25" x14ac:dyDescent="0.2">
      <c r="A30" s="300"/>
      <c r="B30" s="300"/>
      <c r="C30" s="311" t="s">
        <v>641</v>
      </c>
      <c r="D30" s="312">
        <f>Ref!R9</f>
        <v>46</v>
      </c>
      <c r="E30" s="166" t="s">
        <v>642</v>
      </c>
      <c r="F30" s="165">
        <f>Ref!R10</f>
        <v>0.95299999999999996</v>
      </c>
      <c r="G30" s="300" t="str">
        <f>"Mrp for "&amp;Selected_Line_Reliability&amp;" years return period"</f>
        <v>Mrp for 300 years return period</v>
      </c>
      <c r="N30" s="300"/>
    </row>
    <row r="31" spans="1:18" s="227" customFormat="1" ht="15.6" customHeight="1" x14ac:dyDescent="0.2">
      <c r="B31" s="300"/>
      <c r="C31" s="299" t="s">
        <v>643</v>
      </c>
      <c r="D31" s="289">
        <v>2.5</v>
      </c>
      <c r="E31" s="172" t="s">
        <v>644</v>
      </c>
      <c r="F31" s="300"/>
      <c r="G31" s="300"/>
      <c r="N31" s="300"/>
      <c r="O31"/>
      <c r="P31"/>
      <c r="Q31"/>
      <c r="R31"/>
    </row>
    <row r="32" spans="1:18" s="227" customFormat="1" x14ac:dyDescent="0.2">
      <c r="A32" s="300"/>
      <c r="B32" s="300"/>
      <c r="D32" s="166" t="s">
        <v>645</v>
      </c>
      <c r="E32" s="166" t="s">
        <v>646</v>
      </c>
      <c r="F32" s="300"/>
      <c r="G32" s="300"/>
      <c r="N32" s="300"/>
      <c r="O32"/>
      <c r="P32"/>
      <c r="Q32"/>
      <c r="R32"/>
    </row>
    <row r="33" spans="1:18" s="227" customFormat="1" ht="15.75" x14ac:dyDescent="0.2">
      <c r="A33" s="300"/>
      <c r="B33" s="300"/>
      <c r="C33" s="299" t="s">
        <v>647</v>
      </c>
      <c r="D33" s="289">
        <v>15</v>
      </c>
      <c r="E33" s="289">
        <v>30</v>
      </c>
      <c r="F33" s="300"/>
      <c r="G33" s="300"/>
      <c r="K33"/>
      <c r="L33"/>
      <c r="M33"/>
      <c r="N33"/>
      <c r="O33"/>
      <c r="P33"/>
      <c r="Q33"/>
      <c r="R33"/>
    </row>
    <row r="34" spans="1:18" s="227" customFormat="1" ht="14.25" x14ac:dyDescent="0.2">
      <c r="A34" s="300"/>
      <c r="B34" s="300"/>
      <c r="C34" s="299" t="s">
        <v>648</v>
      </c>
      <c r="D34" s="165">
        <f>Ref!R15</f>
        <v>0.97</v>
      </c>
      <c r="E34" s="165">
        <f>Ref!S15</f>
        <v>1.05</v>
      </c>
      <c r="F34" s="300"/>
      <c r="G34" s="300"/>
      <c r="K34"/>
      <c r="L34"/>
      <c r="M34"/>
      <c r="O34"/>
      <c r="P34"/>
      <c r="Q34"/>
      <c r="R34"/>
    </row>
    <row r="35" spans="1:18" s="227" customFormat="1" ht="15.75" x14ac:dyDescent="0.2">
      <c r="A35" s="300"/>
      <c r="B35" s="300"/>
      <c r="C35" s="299" t="s">
        <v>649</v>
      </c>
      <c r="D35" s="289">
        <v>1</v>
      </c>
      <c r="E35" s="289">
        <f>D35</f>
        <v>1</v>
      </c>
      <c r="F35" s="300" t="s">
        <v>650</v>
      </c>
      <c r="G35" s="300"/>
      <c r="N35" s="300"/>
    </row>
    <row r="36" spans="1:18" s="227" customFormat="1" ht="15.75" x14ac:dyDescent="0.2">
      <c r="A36" s="300"/>
      <c r="B36" s="300"/>
      <c r="D36" s="492" t="s">
        <v>651</v>
      </c>
      <c r="E36" s="289">
        <v>350</v>
      </c>
      <c r="F36" s="300" t="s">
        <v>652</v>
      </c>
      <c r="G36" s="300"/>
      <c r="N36" s="300"/>
    </row>
    <row r="37" spans="1:18" s="227" customFormat="1" ht="15.75" x14ac:dyDescent="0.2">
      <c r="A37" s="300"/>
      <c r="B37" s="300"/>
      <c r="C37" s="299"/>
      <c r="D37" s="492" t="s">
        <v>653</v>
      </c>
      <c r="E37" s="496">
        <f>IF(E36="","",0.760921744651895+-0.106402137205335*D31+0.022696109519148*LN(0.0815685789110613*E33)+0.222830268536814*EXP(-0.00149027774905499*E36)+0.0595594440058278*D31*EXP(-0.00864192401796539*E36)+-0.0706565951108581*LN(0.0286572732772875*E33)*EXP(-0.0163239575515588*E36)+-0.0346189843553499*D31*LN(0.163020686546399*E33)+0.056751426289832*D31*LN(0.182013111962364*E33)*EXP(-0.0000672250202949148*E36))</f>
        <v>0.75262320909439007</v>
      </c>
      <c r="F37" s="300"/>
      <c r="G37" s="300"/>
      <c r="H37"/>
      <c r="I37"/>
      <c r="J37"/>
      <c r="K37"/>
      <c r="N37" s="300"/>
    </row>
    <row r="38" spans="1:18" s="227" customFormat="1" ht="15" x14ac:dyDescent="0.2">
      <c r="A38" s="300"/>
      <c r="C38" s="299" t="str">
        <f>"Employ the following generic wind speeds for "&amp;Ref!Q23</f>
        <v>Employ the following generic wind speeds for V(rp1000,z=15,cat=2.5)</v>
      </c>
      <c r="D38" s="314">
        <f>ROUNDUP(Ref!R23,0)</f>
        <v>45</v>
      </c>
      <c r="E38" s="314">
        <f>ROUNDUP(Ref!S23,0)*SQRT(E37)</f>
        <v>42.509391021698143</v>
      </c>
      <c r="F38" s="172" t="s">
        <v>654</v>
      </c>
      <c r="G38" s="300"/>
      <c r="N38" s="300"/>
    </row>
    <row r="39" spans="1:18" s="227" customFormat="1" x14ac:dyDescent="0.2">
      <c r="A39" s="300"/>
      <c r="N39" s="300"/>
    </row>
    <row r="40" spans="1:18" s="227" customFormat="1" x14ac:dyDescent="0.2">
      <c r="A40" s="439" t="s">
        <v>655</v>
      </c>
      <c r="B40" s="437"/>
      <c r="C40" s="436"/>
      <c r="D40" s="436"/>
      <c r="E40" s="436"/>
      <c r="F40" s="436"/>
      <c r="G40" s="436"/>
      <c r="H40" s="436"/>
      <c r="I40" s="436"/>
      <c r="J40" s="436"/>
      <c r="N40" s="300"/>
    </row>
    <row r="41" spans="1:18" x14ac:dyDescent="0.2">
      <c r="A41" s="122">
        <v>1</v>
      </c>
      <c r="B41" s="608"/>
      <c r="C41" s="608"/>
      <c r="D41" s="608"/>
      <c r="E41" s="608"/>
      <c r="F41" s="608"/>
      <c r="G41" s="608"/>
      <c r="H41" s="608"/>
      <c r="I41" s="608"/>
      <c r="J41" s="608"/>
      <c r="N41" s="122"/>
    </row>
    <row r="42" spans="1:18" x14ac:dyDescent="0.2">
      <c r="A42" s="122">
        <f>A41+1</f>
        <v>2</v>
      </c>
      <c r="B42" s="608"/>
      <c r="C42" s="608"/>
      <c r="D42" s="608"/>
      <c r="E42" s="608"/>
      <c r="F42" s="608"/>
      <c r="G42" s="608"/>
      <c r="H42" s="608"/>
      <c r="I42" s="608"/>
      <c r="J42" s="608"/>
      <c r="K42" s="122"/>
      <c r="L42" s="122"/>
      <c r="N42" s="122"/>
    </row>
    <row r="43" spans="1:18" x14ac:dyDescent="0.2">
      <c r="A43" s="122"/>
      <c r="B43" s="608"/>
      <c r="C43" s="608"/>
      <c r="D43" s="608"/>
      <c r="E43" s="608"/>
      <c r="F43" s="608"/>
      <c r="G43" s="608"/>
      <c r="H43" s="608"/>
      <c r="I43" s="608"/>
      <c r="J43" s="608"/>
      <c r="K43" s="122"/>
      <c r="L43" s="122"/>
      <c r="N43" s="122"/>
    </row>
    <row r="44" spans="1:18" x14ac:dyDescent="0.2">
      <c r="A44" s="122"/>
      <c r="B44" s="608"/>
      <c r="C44" s="608"/>
      <c r="D44" s="608"/>
      <c r="E44" s="608"/>
      <c r="F44" s="608"/>
      <c r="G44" s="608"/>
      <c r="H44" s="608"/>
      <c r="I44" s="608"/>
      <c r="J44" s="608"/>
      <c r="K44" s="122"/>
      <c r="L44" s="122"/>
      <c r="N44" s="122"/>
    </row>
    <row r="45" spans="1:18" x14ac:dyDescent="0.2">
      <c r="A45" s="122"/>
      <c r="B45" s="608"/>
      <c r="C45" s="608"/>
      <c r="D45" s="608"/>
      <c r="E45" s="608"/>
      <c r="F45" s="608"/>
      <c r="G45" s="608"/>
      <c r="H45" s="608"/>
      <c r="I45" s="608"/>
      <c r="J45" s="608"/>
      <c r="K45" s="122"/>
      <c r="L45" s="122"/>
      <c r="N45" s="122"/>
    </row>
    <row r="46" spans="1:18" x14ac:dyDescent="0.2">
      <c r="A46" s="122"/>
      <c r="B46" s="608"/>
      <c r="C46" s="608"/>
      <c r="D46" s="608"/>
      <c r="E46" s="608"/>
      <c r="F46" s="608"/>
      <c r="G46" s="608"/>
      <c r="H46" s="608"/>
      <c r="I46" s="608"/>
      <c r="J46" s="608"/>
      <c r="K46" s="122"/>
      <c r="L46" s="122"/>
      <c r="N46" s="122"/>
    </row>
    <row r="47" spans="1:18" x14ac:dyDescent="0.2">
      <c r="A47" s="122"/>
      <c r="B47" s="608"/>
      <c r="C47" s="608"/>
      <c r="D47" s="608"/>
      <c r="E47" s="608"/>
      <c r="F47" s="608"/>
      <c r="G47" s="608"/>
      <c r="H47" s="608"/>
      <c r="I47" s="608"/>
      <c r="J47" s="608"/>
      <c r="K47" s="122"/>
      <c r="L47" s="122"/>
      <c r="N47" s="122"/>
    </row>
    <row r="48" spans="1:18" x14ac:dyDescent="0.2">
      <c r="A48" s="438"/>
      <c r="B48" s="609"/>
      <c r="C48" s="609"/>
      <c r="D48" s="609"/>
      <c r="E48" s="609"/>
      <c r="F48" s="609"/>
      <c r="G48" s="609"/>
      <c r="H48" s="609"/>
      <c r="I48" s="609"/>
      <c r="J48" s="609"/>
      <c r="K48" s="122"/>
      <c r="L48" s="122"/>
      <c r="N48" s="122"/>
    </row>
    <row r="49" spans="3:14" x14ac:dyDescent="0.2">
      <c r="C49" s="122"/>
      <c r="D49" s="122"/>
      <c r="E49" s="122"/>
      <c r="F49" s="122"/>
      <c r="G49" s="122"/>
      <c r="H49" s="122"/>
      <c r="I49" s="122"/>
      <c r="J49" s="163"/>
      <c r="K49" s="122"/>
      <c r="L49" s="122"/>
      <c r="N49" s="122"/>
    </row>
    <row r="50" spans="3:14" x14ac:dyDescent="0.2">
      <c r="C50" s="495"/>
      <c r="D50" s="122"/>
      <c r="E50" s="122"/>
      <c r="F50" s="122"/>
      <c r="G50" s="122"/>
      <c r="H50" s="122"/>
      <c r="I50" s="122"/>
      <c r="J50" s="163"/>
      <c r="K50" s="122"/>
      <c r="L50" s="122"/>
      <c r="N50" s="122"/>
    </row>
    <row r="51" spans="3:14" x14ac:dyDescent="0.2">
      <c r="E51" s="122"/>
      <c r="F51" s="122"/>
      <c r="G51" s="122"/>
      <c r="H51" s="122"/>
      <c r="I51" s="122"/>
      <c r="J51" s="163"/>
      <c r="K51" s="122"/>
      <c r="L51" s="122"/>
      <c r="N51" s="122"/>
    </row>
    <row r="52" spans="3:14" x14ac:dyDescent="0.2">
      <c r="E52" s="122"/>
      <c r="F52" s="122"/>
      <c r="G52" s="122"/>
      <c r="J52" s="163"/>
      <c r="K52" s="122"/>
      <c r="L52" s="122"/>
      <c r="N52" s="122"/>
    </row>
    <row r="53" spans="3:14" x14ac:dyDescent="0.2">
      <c r="E53" s="122"/>
      <c r="F53" s="122"/>
      <c r="G53" s="122"/>
      <c r="H53" s="122"/>
      <c r="K53" s="122"/>
      <c r="L53" s="122"/>
      <c r="N53" s="122"/>
    </row>
    <row r="54" spans="3:14" x14ac:dyDescent="0.2">
      <c r="E54" s="122"/>
      <c r="F54" s="122"/>
      <c r="G54" s="122"/>
      <c r="H54" s="122"/>
      <c r="K54" s="122"/>
      <c r="L54" s="122"/>
      <c r="N54" s="122"/>
    </row>
    <row r="55" spans="3:14" ht="13.9" customHeight="1" x14ac:dyDescent="0.2">
      <c r="C55" s="163"/>
      <c r="D55" s="122"/>
      <c r="E55" s="122"/>
      <c r="F55" s="122"/>
      <c r="L55" s="122"/>
    </row>
    <row r="56" spans="3:14" ht="13.9" customHeight="1" x14ac:dyDescent="0.2">
      <c r="C56" s="163"/>
      <c r="D56" s="122"/>
      <c r="E56" s="122"/>
      <c r="F56" s="122"/>
      <c r="L56" s="122"/>
    </row>
    <row r="57" spans="3:14" x14ac:dyDescent="0.2">
      <c r="C57" s="122"/>
      <c r="D57" s="122"/>
      <c r="E57" s="122"/>
      <c r="F57" s="122"/>
      <c r="K57" s="122"/>
      <c r="L57" s="122"/>
    </row>
    <row r="58" spans="3:14" x14ac:dyDescent="0.2">
      <c r="C58" s="122"/>
      <c r="D58" s="122"/>
      <c r="E58" s="122"/>
      <c r="F58" s="122"/>
      <c r="K58" s="122"/>
      <c r="L58" s="122"/>
    </row>
    <row r="59" spans="3:14" x14ac:dyDescent="0.2">
      <c r="C59" s="122"/>
      <c r="D59" s="122"/>
      <c r="E59" s="122"/>
      <c r="F59" s="122"/>
      <c r="G59" s="122"/>
      <c r="H59" s="122"/>
      <c r="I59" s="122"/>
      <c r="J59" s="122"/>
      <c r="K59" s="122"/>
      <c r="L59" s="122"/>
      <c r="M59" s="122"/>
      <c r="N59" s="122"/>
    </row>
    <row r="60" spans="3:14" x14ac:dyDescent="0.2">
      <c r="C60" s="122"/>
      <c r="D60" s="122"/>
      <c r="E60" s="122"/>
      <c r="F60" s="122"/>
      <c r="G60" s="122"/>
      <c r="H60" s="122"/>
      <c r="I60" s="122"/>
      <c r="J60" s="122"/>
      <c r="K60" s="122"/>
      <c r="L60" s="122"/>
      <c r="M60" s="122"/>
      <c r="N60" s="122"/>
    </row>
    <row r="61" spans="3:14" x14ac:dyDescent="0.2">
      <c r="C61" s="122"/>
      <c r="D61" s="122"/>
      <c r="E61" s="122"/>
      <c r="F61" s="122"/>
      <c r="G61" s="122"/>
      <c r="H61" s="122"/>
      <c r="I61" s="122"/>
      <c r="J61" s="122"/>
      <c r="K61" s="122"/>
      <c r="L61" s="122"/>
      <c r="M61" s="122"/>
      <c r="N61" s="122"/>
    </row>
    <row r="62" spans="3:14" x14ac:dyDescent="0.2">
      <c r="C62" s="122"/>
      <c r="D62" s="122"/>
      <c r="E62" s="122"/>
      <c r="F62" s="122"/>
      <c r="G62" s="122"/>
      <c r="H62" s="122"/>
      <c r="I62" s="122"/>
      <c r="J62" s="122"/>
      <c r="K62" s="122"/>
      <c r="L62" s="122"/>
      <c r="M62" s="122"/>
      <c r="N62" s="122"/>
    </row>
    <row r="63" spans="3:14" x14ac:dyDescent="0.2">
      <c r="C63" s="122"/>
      <c r="D63" s="122"/>
      <c r="E63" s="122"/>
      <c r="F63" s="122"/>
      <c r="G63" s="122"/>
      <c r="H63" s="122"/>
      <c r="I63" s="122"/>
      <c r="J63" s="122"/>
      <c r="K63" s="122"/>
      <c r="L63" s="122"/>
      <c r="M63" s="122"/>
      <c r="N63" s="122"/>
    </row>
    <row r="64" spans="3:14" x14ac:dyDescent="0.2">
      <c r="C64" s="122"/>
      <c r="D64" s="122"/>
      <c r="E64" s="122"/>
      <c r="F64" s="122"/>
      <c r="G64" s="122"/>
      <c r="H64" s="122"/>
      <c r="I64" s="122"/>
      <c r="J64" s="122"/>
      <c r="K64" s="122"/>
      <c r="L64" s="122"/>
      <c r="M64" s="122"/>
      <c r="N64" s="122"/>
    </row>
    <row r="65" spans="3:14" x14ac:dyDescent="0.2">
      <c r="C65" s="122"/>
      <c r="D65" s="122"/>
      <c r="E65" s="122"/>
      <c r="F65" s="122"/>
      <c r="G65" s="122"/>
      <c r="H65" s="122"/>
      <c r="I65" s="122"/>
      <c r="J65" s="122"/>
      <c r="K65" s="122"/>
      <c r="L65" s="122"/>
      <c r="M65" s="122"/>
      <c r="N65" s="122"/>
    </row>
    <row r="66" spans="3:14" x14ac:dyDescent="0.2">
      <c r="C66" s="122"/>
      <c r="D66" s="122"/>
      <c r="E66" s="122"/>
      <c r="F66" s="122"/>
      <c r="G66" s="122"/>
      <c r="H66" s="122"/>
      <c r="I66" s="122"/>
      <c r="J66" s="122"/>
      <c r="K66" s="122"/>
      <c r="L66" s="122"/>
      <c r="M66" s="122"/>
      <c r="N66" s="122"/>
    </row>
    <row r="67" spans="3:14" x14ac:dyDescent="0.2">
      <c r="C67" s="122"/>
      <c r="D67" s="122"/>
      <c r="E67" s="122"/>
      <c r="F67" s="122"/>
      <c r="G67" s="122"/>
      <c r="H67" s="122"/>
      <c r="I67" s="122"/>
      <c r="J67" s="122"/>
      <c r="K67" s="122"/>
      <c r="L67" s="122"/>
      <c r="M67" s="122"/>
      <c r="N67" s="122"/>
    </row>
    <row r="68" spans="3:14" x14ac:dyDescent="0.2">
      <c r="C68" s="122"/>
      <c r="D68" s="122"/>
      <c r="E68" s="122"/>
      <c r="F68" s="122"/>
      <c r="G68" s="122"/>
      <c r="H68" s="122"/>
      <c r="I68" s="122"/>
      <c r="J68" s="122"/>
      <c r="K68" s="122"/>
      <c r="L68" s="122"/>
      <c r="M68" s="122"/>
      <c r="N68" s="122"/>
    </row>
    <row r="69" spans="3:14" x14ac:dyDescent="0.2">
      <c r="C69" s="122"/>
      <c r="D69" s="122"/>
      <c r="E69" s="122"/>
      <c r="F69" s="122"/>
      <c r="G69" s="122"/>
      <c r="H69" s="122"/>
      <c r="I69" s="122"/>
      <c r="J69" s="122"/>
      <c r="K69" s="122"/>
      <c r="L69" s="122"/>
      <c r="M69" s="122"/>
      <c r="N69" s="122"/>
    </row>
    <row r="70" spans="3:14" x14ac:dyDescent="0.2">
      <c r="C70" s="122"/>
      <c r="D70" s="122"/>
      <c r="E70" s="122"/>
      <c r="F70" s="122"/>
      <c r="G70" s="122"/>
      <c r="H70" s="122"/>
      <c r="I70" s="122"/>
      <c r="J70" s="122"/>
      <c r="K70" s="122"/>
      <c r="L70" s="122"/>
      <c r="M70" s="122"/>
      <c r="N70" s="122"/>
    </row>
    <row r="71" spans="3:14" x14ac:dyDescent="0.2">
      <c r="C71" s="122"/>
      <c r="D71" s="122"/>
      <c r="E71" s="122"/>
      <c r="F71" s="122"/>
      <c r="G71" s="122"/>
      <c r="H71" s="122"/>
      <c r="I71" s="122"/>
      <c r="J71" s="122"/>
      <c r="K71" s="122"/>
      <c r="L71" s="122"/>
      <c r="M71" s="122"/>
      <c r="N71" s="122"/>
    </row>
    <row r="72" spans="3:14" x14ac:dyDescent="0.2">
      <c r="C72" s="122"/>
      <c r="D72" s="122"/>
      <c r="E72" s="122"/>
      <c r="F72" s="122"/>
      <c r="G72" s="122"/>
      <c r="H72" s="122"/>
      <c r="I72" s="122"/>
      <c r="J72" s="122"/>
      <c r="K72" s="122"/>
      <c r="L72" s="122"/>
      <c r="M72" s="122"/>
      <c r="N72" s="122"/>
    </row>
    <row r="73" spans="3:14" x14ac:dyDescent="0.2">
      <c r="C73" s="122"/>
      <c r="D73" s="122"/>
      <c r="E73" s="122"/>
      <c r="F73" s="122"/>
      <c r="G73" s="122"/>
      <c r="H73" s="122"/>
      <c r="I73" s="122"/>
      <c r="J73" s="122"/>
      <c r="K73" s="122"/>
      <c r="L73" s="122"/>
      <c r="M73" s="122"/>
      <c r="N73" s="122"/>
    </row>
    <row r="74" spans="3:14" x14ac:dyDescent="0.2">
      <c r="C74" s="122"/>
      <c r="D74" s="122"/>
      <c r="E74" s="122"/>
      <c r="F74" s="122"/>
      <c r="G74" s="122"/>
      <c r="H74" s="122"/>
      <c r="I74" s="122"/>
      <c r="J74" s="122"/>
      <c r="K74" s="122"/>
      <c r="L74" s="122"/>
      <c r="M74" s="122"/>
      <c r="N74" s="122"/>
    </row>
    <row r="75" spans="3:14" x14ac:dyDescent="0.2">
      <c r="C75" s="122"/>
      <c r="D75" s="122"/>
      <c r="E75" s="122"/>
      <c r="F75" s="122"/>
      <c r="G75" s="122"/>
      <c r="H75" s="122"/>
      <c r="I75" s="122"/>
      <c r="J75" s="122"/>
      <c r="K75" s="122"/>
      <c r="L75" s="122"/>
      <c r="M75" s="122"/>
      <c r="N75" s="122"/>
    </row>
    <row r="76" spans="3:14" x14ac:dyDescent="0.2">
      <c r="C76" s="122"/>
      <c r="D76" s="122"/>
      <c r="E76" s="122"/>
      <c r="F76" s="122"/>
      <c r="G76" s="122"/>
      <c r="H76" s="122"/>
      <c r="I76" s="122"/>
      <c r="J76" s="122"/>
      <c r="K76" s="122"/>
      <c r="L76" s="122"/>
      <c r="M76" s="122"/>
      <c r="N76" s="122"/>
    </row>
    <row r="77" spans="3:14" x14ac:dyDescent="0.2">
      <c r="C77" s="122"/>
      <c r="D77" s="122"/>
      <c r="E77" s="122"/>
      <c r="F77" s="122"/>
      <c r="G77" s="122"/>
      <c r="H77" s="122"/>
      <c r="I77" s="122"/>
      <c r="J77" s="122"/>
      <c r="K77" s="122"/>
      <c r="L77" s="122"/>
      <c r="M77" s="122"/>
      <c r="N77" s="122"/>
    </row>
    <row r="78" spans="3:14" x14ac:dyDescent="0.2">
      <c r="C78" s="122"/>
      <c r="D78" s="122"/>
      <c r="E78" s="122"/>
      <c r="F78" s="122"/>
      <c r="G78" s="122"/>
      <c r="H78" s="122"/>
      <c r="I78" s="122"/>
      <c r="J78" s="122"/>
      <c r="K78" s="122"/>
      <c r="L78" s="122"/>
      <c r="M78" s="122"/>
      <c r="N78" s="122"/>
    </row>
    <row r="79" spans="3:14" x14ac:dyDescent="0.2">
      <c r="C79" s="122"/>
      <c r="D79" s="122"/>
      <c r="E79" s="122"/>
      <c r="F79" s="122"/>
      <c r="G79" s="122"/>
      <c r="H79" s="122"/>
      <c r="I79" s="122"/>
      <c r="J79" s="122"/>
      <c r="K79" s="122"/>
      <c r="L79" s="122"/>
      <c r="M79" s="122"/>
      <c r="N79" s="122"/>
    </row>
    <row r="80" spans="3:14" x14ac:dyDescent="0.2">
      <c r="C80" s="122"/>
      <c r="D80" s="122"/>
      <c r="E80" s="122"/>
      <c r="F80" s="122"/>
      <c r="G80" s="122"/>
      <c r="H80" s="122"/>
      <c r="I80" s="122"/>
      <c r="J80" s="122"/>
      <c r="K80" s="122"/>
      <c r="L80" s="122"/>
      <c r="M80" s="122"/>
      <c r="N80" s="122"/>
    </row>
    <row r="81" spans="3:14" x14ac:dyDescent="0.2">
      <c r="C81" s="122"/>
      <c r="D81" s="122"/>
      <c r="E81" s="122"/>
      <c r="F81" s="122"/>
      <c r="G81" s="122"/>
      <c r="H81" s="122"/>
      <c r="I81" s="122"/>
      <c r="J81" s="122"/>
      <c r="K81" s="122"/>
      <c r="L81" s="122"/>
      <c r="M81" s="122"/>
      <c r="N81" s="122"/>
    </row>
    <row r="82" spans="3:14" x14ac:dyDescent="0.2">
      <c r="C82" s="122"/>
      <c r="D82" s="122"/>
      <c r="E82" s="122"/>
      <c r="F82" s="122"/>
      <c r="G82" s="122"/>
      <c r="H82" s="122"/>
      <c r="I82" s="122"/>
      <c r="J82" s="122"/>
      <c r="K82" s="122"/>
      <c r="L82" s="122"/>
      <c r="M82" s="122"/>
      <c r="N82" s="122"/>
    </row>
    <row r="83" spans="3:14" x14ac:dyDescent="0.2">
      <c r="C83" s="122"/>
      <c r="D83" s="122"/>
      <c r="E83" s="122"/>
      <c r="F83" s="122"/>
      <c r="G83" s="122"/>
      <c r="H83" s="122"/>
      <c r="I83" s="122"/>
      <c r="J83" s="122"/>
      <c r="K83" s="122"/>
      <c r="L83" s="122"/>
      <c r="M83" s="122"/>
      <c r="N83" s="122"/>
    </row>
    <row r="84" spans="3:14" x14ac:dyDescent="0.2">
      <c r="N84" s="122"/>
    </row>
    <row r="85" spans="3:14" x14ac:dyDescent="0.2">
      <c r="N85" s="122"/>
    </row>
  </sheetData>
  <sheetProtection algorithmName="SHA-512" hashValue="jRFVW7X7eU9j6nyIluOCXrBrBz7lmpbRuBF/XAs4tSzZ1CUtbblS0A2uwAkLXbJ9kaHzlTTo5c9ZJWBOy0AHAw==" saltValue="gPKbMc745z0twiBRgyxSvA==" spinCount="100000" sheet="1" objects="1" scenarios="1" autoFilter="0"/>
  <mergeCells count="19">
    <mergeCell ref="B46:J46"/>
    <mergeCell ref="B47:J47"/>
    <mergeCell ref="B48:J48"/>
    <mergeCell ref="B41:J41"/>
    <mergeCell ref="B42:J42"/>
    <mergeCell ref="B43:J43"/>
    <mergeCell ref="B44:J44"/>
    <mergeCell ref="B45:J45"/>
    <mergeCell ref="D4:F4"/>
    <mergeCell ref="D16:F16"/>
    <mergeCell ref="D17:F17"/>
    <mergeCell ref="D11:F11"/>
    <mergeCell ref="D15:F15"/>
    <mergeCell ref="D8:I8"/>
    <mergeCell ref="D7:I7"/>
    <mergeCell ref="D14:F14"/>
    <mergeCell ref="D10:F10"/>
    <mergeCell ref="D12:F12"/>
    <mergeCell ref="D13:F13"/>
  </mergeCells>
  <conditionalFormatting sqref="B37:D38">
    <cfRule type="expression" dxfId="30" priority="42">
      <formula>$D$19="SS"</formula>
    </cfRule>
  </conditionalFormatting>
  <conditionalFormatting sqref="B30:G35">
    <cfRule type="expression" dxfId="29" priority="44">
      <formula>$D$19="SS"</formula>
    </cfRule>
  </conditionalFormatting>
  <conditionalFormatting sqref="D22">
    <cfRule type="expression" dxfId="28" priority="10">
      <formula>ISNA(MATCH(D22,Altitude,0))</formula>
    </cfRule>
  </conditionalFormatting>
  <conditionalFormatting sqref="D24">
    <cfRule type="expression" dxfId="27" priority="7">
      <formula>AND($D$20="S",$D$24="N1")</formula>
    </cfRule>
    <cfRule type="expression" dxfId="26" priority="138">
      <formula>$E$24="Not applicable to selected Island refer App B. Fig B-2"</formula>
    </cfRule>
  </conditionalFormatting>
  <conditionalFormatting sqref="D10:F10">
    <cfRule type="expression" dxfId="25" priority="37">
      <formula>OR($D10="*None*",D$10="SELECT")</formula>
    </cfRule>
  </conditionalFormatting>
  <conditionalFormatting sqref="D11:F17">
    <cfRule type="expression" dxfId="24" priority="9">
      <formula>D11="SELECT"</formula>
    </cfRule>
  </conditionalFormatting>
  <conditionalFormatting sqref="D7:I7">
    <cfRule type="expression" dxfId="23" priority="52">
      <formula>$D$5="Y"</formula>
    </cfRule>
  </conditionalFormatting>
  <conditionalFormatting sqref="E24">
    <cfRule type="expression" dxfId="22" priority="139">
      <formula>$E$24="Not applicable Ref Appendix B. Figure B-2"</formula>
    </cfRule>
  </conditionalFormatting>
  <conditionalFormatting sqref="E36:G38">
    <cfRule type="expression" dxfId="21" priority="1">
      <formula>$D$19="SS"</formula>
    </cfRule>
  </conditionalFormatting>
  <conditionalFormatting sqref="G12:H17">
    <cfRule type="expression" dxfId="20" priority="33">
      <formula>$D12="*None*"</formula>
    </cfRule>
    <cfRule type="expression" dxfId="19" priority="34">
      <formula>AND(OR($D12&lt;&gt;"SELECT",$D12&lt;&gt;"*None*"),G12="")</formula>
    </cfRule>
  </conditionalFormatting>
  <conditionalFormatting sqref="G15:H17">
    <cfRule type="expression" dxfId="18" priority="25">
      <formula>$D15="*None*"</formula>
    </cfRule>
    <cfRule type="expression" dxfId="17" priority="26">
      <formula>AND(OR($D15&lt;&gt;"SELECT",$D15&lt;&gt;"*None*"),G15="")</formula>
    </cfRule>
  </conditionalFormatting>
  <conditionalFormatting sqref="G10:I13">
    <cfRule type="expression" dxfId="16" priority="38">
      <formula>$D10="*None*"</formula>
    </cfRule>
    <cfRule type="expression" dxfId="15" priority="39">
      <formula>AND(OR($D10&lt;&gt;"SELECT",$D10&lt;&gt;"*None*"),G10="")</formula>
    </cfRule>
  </conditionalFormatting>
  <conditionalFormatting sqref="I5 H6:I6 H27:M28 C29:G29 I29:M32 N30:N32 A32:A39 I33:J34 I35:M36 N35:N44 B36 D36 L37:M37 I38:M38 O38 K39:M40 M41 K42:M42">
    <cfRule type="expression" dxfId="14" priority="55">
      <formula>$D$19="SS"</formula>
    </cfRule>
  </conditionalFormatting>
  <conditionalFormatting sqref="I5">
    <cfRule type="expression" dxfId="13" priority="187">
      <formula>#REF!="Tower"</formula>
    </cfRule>
  </conditionalFormatting>
  <conditionalFormatting sqref="J10:J17">
    <cfRule type="expression" dxfId="12" priority="11">
      <formula>$D10="*None*"</formula>
    </cfRule>
    <cfRule type="expression" dxfId="11" priority="12">
      <formula>AND(OR($D10&lt;&gt;"SELECT",$D10&lt;&gt;"*None*"),J10="")</formula>
    </cfRule>
  </conditionalFormatting>
  <conditionalFormatting sqref="M11:M13">
    <cfRule type="expression" dxfId="10" priority="22">
      <formula>M11="SELECT"</formula>
    </cfRule>
  </conditionalFormatting>
  <dataValidations count="13">
    <dataValidation type="list" allowBlank="1" showInputMessage="1" showErrorMessage="1" sqref="D31" xr:uid="{00000000-0002-0000-0200-000000000000}">
      <formula1>Terrains</formula1>
    </dataValidation>
    <dataValidation type="list" allowBlank="1" showInputMessage="1" showErrorMessage="1" sqref="D24" xr:uid="{00000000-0002-0000-0200-000001000000}">
      <formula1>Ice_Zones</formula1>
    </dataValidation>
    <dataValidation type="list" allowBlank="1" showInputMessage="1" showErrorMessage="1" sqref="D23" xr:uid="{00000000-0002-0000-0200-000002000000}">
      <formula1>Wind_Zones</formula1>
    </dataValidation>
    <dataValidation type="list" allowBlank="1" showInputMessage="1" showErrorMessage="1" sqref="D5 D26 D21" xr:uid="{00000000-0002-0000-0200-000003000000}">
      <formula1>"Y,N"</formula1>
    </dataValidation>
    <dataValidation type="list" allowBlank="1" showInputMessage="1" showErrorMessage="1" sqref="D20" xr:uid="{00000000-0002-0000-0200-000004000000}">
      <formula1>"N,S"</formula1>
    </dataValidation>
    <dataValidation type="list" allowBlank="1" showInputMessage="1" showErrorMessage="1" sqref="D19" xr:uid="{00000000-0002-0000-0200-000005000000}">
      <formula1>"SS,GL"</formula1>
    </dataValidation>
    <dataValidation type="whole" allowBlank="1" showInputMessage="1" showErrorMessage="1" sqref="D25" xr:uid="{00000000-0002-0000-0200-000006000000}">
      <formula1>1</formula1>
      <formula2>5</formula2>
    </dataValidation>
    <dataValidation type="list" allowBlank="1" showInputMessage="1" showErrorMessage="1" sqref="D22" xr:uid="{00000000-0002-0000-0200-000007000000}">
      <formula1>Altitude</formula1>
    </dataValidation>
    <dataValidation type="textLength" allowBlank="1" showInputMessage="1" showErrorMessage="1" sqref="H4" xr:uid="{00000000-0002-0000-0200-000008000000}">
      <formula1>1</formula1>
      <formula2>6</formula2>
    </dataValidation>
    <dataValidation type="list" allowBlank="1" showInputMessage="1" showErrorMessage="1" sqref="D10:D17" xr:uid="{00000000-0002-0000-0200-000009000000}">
      <formula1>ConName</formula1>
    </dataValidation>
    <dataValidation type="decimal" allowBlank="1" showInputMessage="1" showErrorMessage="1" sqref="G10:H17" xr:uid="{00000000-0002-0000-0200-00000A000000}">
      <formula1>0</formula1>
      <formula2>1</formula2>
    </dataValidation>
    <dataValidation type="list" allowBlank="1" showInputMessage="1" showErrorMessage="1" sqref="D27" xr:uid="{00000000-0002-0000-0200-00000B000000}">
      <formula1>"N,SP,XP,WP"</formula1>
    </dataValidation>
    <dataValidation type="whole" allowBlank="1" showInputMessage="1" showErrorMessage="1" sqref="E36" xr:uid="{00000000-0002-0000-0200-00000C000000}">
      <formula1>1</formula1>
      <formula2>2000</formula2>
    </dataValidation>
  </dataValidations>
  <hyperlinks>
    <hyperlink ref="A1" location="Instructions!A1" display="INSTRUCTIONS" xr:uid="{00000000-0004-0000-0200-000000000000}"/>
    <hyperlink ref="B1" location="'Structure Groups'!A1" display="STRUCTURE GROUPS" xr:uid="{00000000-0004-0000-0200-000001000000}"/>
    <hyperlink ref="C1" location="'Weather Cases'!A1" display="WEATHER CASES" xr:uid="{00000000-0004-0000-0200-000002000000}"/>
    <hyperlink ref="G1" location="'Staking Table'!A1" display="STAKING TABLE" xr:uid="{00000000-0004-0000-0200-000003000000}"/>
    <hyperlink ref="E1" location="'Load Criteria'!A1" display="LOAD CRITERIA" xr:uid="{00000000-0004-0000-0200-000004000000}"/>
    <hyperlink ref="I1" location="'pls-cadd folders'!A1" display="PLS-CADD" xr:uid="{00000000-0004-0000-0200-000005000000}"/>
  </hyperlinks>
  <pageMargins left="0.70866141732283472" right="0.70866141732283472" top="0.74803149606299213" bottom="0.74803149606299213" header="0.31496062992125984" footer="0.31496062992125984"/>
  <pageSetup paperSize="9" scale="77" orientation="landscape" r:id="rId1"/>
  <headerFooter>
    <oddHeader>&amp;L&amp;G&amp;RPage &amp;P of &amp;N</oddHeader>
    <oddFooter>&amp;LAD-TE Lines&amp;C&amp;F&amp;R&amp;D</oddFooter>
  </headerFooter>
  <ignoredErrors>
    <ignoredError sqref="E35 E37 D8:I8 E7:I7" unlockedFormula="1"/>
  </ignoredErrors>
  <legacyDrawing r:id="rId2"/>
  <legacyDrawingHF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D000000}">
          <x14:formula1>
            <xm:f>Ref!$C$7:$C$29</xm:f>
          </x14:formula1>
          <xm:sqref>D6</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pageSetUpPr fitToPage="1"/>
  </sheetPr>
  <dimension ref="A1:BT322"/>
  <sheetViews>
    <sheetView topLeftCell="I1" workbookViewId="0">
      <selection activeCell="B8" sqref="B8:AC12"/>
    </sheetView>
  </sheetViews>
  <sheetFormatPr defaultRowHeight="12.75" x14ac:dyDescent="0.2"/>
  <cols>
    <col min="2" max="2" width="27.5703125" style="167" customWidth="1"/>
    <col min="13" max="13" width="10.7109375" customWidth="1"/>
    <col min="15" max="15" width="10.28515625" customWidth="1"/>
    <col min="21" max="21" width="11.42578125" customWidth="1"/>
    <col min="22" max="22" width="33" customWidth="1"/>
  </cols>
  <sheetData>
    <row r="1" spans="1:72" x14ac:dyDescent="0.2">
      <c r="A1" s="278" t="s">
        <v>123</v>
      </c>
      <c r="E1" s="278" t="s">
        <v>143</v>
      </c>
      <c r="V1" s="277" t="s">
        <v>656</v>
      </c>
      <c r="Z1" s="3" t="s">
        <v>657</v>
      </c>
    </row>
    <row r="2" spans="1:72" x14ac:dyDescent="0.2">
      <c r="A2" s="278" t="s">
        <v>139</v>
      </c>
      <c r="E2" s="278" t="s">
        <v>147</v>
      </c>
      <c r="L2" s="2" t="str">
        <f>Control!$B$3</f>
        <v>PLS-CADD WC &amp; LC Generator Master Rev H.xlsx</v>
      </c>
      <c r="N2" s="278"/>
      <c r="V2" s="277" t="s">
        <v>658</v>
      </c>
      <c r="Z2" s="295" t="str">
        <f>Ref!Q23</f>
        <v>V(rp1000,z=15,cat=2.5)</v>
      </c>
      <c r="AA2" s="295"/>
      <c r="AB2" s="295"/>
    </row>
    <row r="3" spans="1:72" x14ac:dyDescent="0.2">
      <c r="A3" s="278" t="s">
        <v>141</v>
      </c>
      <c r="E3" s="328" t="s">
        <v>149</v>
      </c>
      <c r="V3" s="277" t="s">
        <v>659</v>
      </c>
      <c r="Z3" s="3" t="s">
        <v>660</v>
      </c>
      <c r="AC3" s="3" t="s">
        <v>645</v>
      </c>
    </row>
    <row r="4" spans="1:72" ht="23.25" x14ac:dyDescent="0.35">
      <c r="B4" s="193" t="str">
        <f>Control!$B$4&amp;" "&amp;Control!$D$4&amp;" Rev "&amp;Control!$H$4</f>
        <v>GIP_Standard T1-T3 Rev A</v>
      </c>
      <c r="K4" s="481" t="s">
        <v>661</v>
      </c>
      <c r="L4" s="482"/>
      <c r="M4" s="270"/>
      <c r="N4" s="270"/>
      <c r="O4" s="270"/>
      <c r="P4" s="270"/>
      <c r="Q4" s="270"/>
      <c r="R4" s="270"/>
      <c r="V4" s="125" t="s">
        <v>662</v>
      </c>
      <c r="Z4" s="294">
        <f>Ref!$S$23</f>
        <v>49</v>
      </c>
      <c r="AA4" s="3" t="s">
        <v>663</v>
      </c>
      <c r="AC4" s="294">
        <f>Ref!$R$23</f>
        <v>45</v>
      </c>
    </row>
    <row r="5" spans="1:72" x14ac:dyDescent="0.2">
      <c r="A5" s="525" t="str">
        <f>Control!$B$3</f>
        <v>PLS-CADD WC &amp; LC Generator Master Rev H.xlsx</v>
      </c>
      <c r="H5" s="24" t="s">
        <v>664</v>
      </c>
      <c r="I5" s="351">
        <f>ROUNDUP(MAX(I7:I1999),-2)</f>
        <v>800</v>
      </c>
      <c r="X5" s="296" t="s">
        <v>665</v>
      </c>
      <c r="Y5" s="296"/>
      <c r="Z5" s="296"/>
      <c r="AA5" s="296"/>
      <c r="AB5" s="296"/>
      <c r="AC5" s="296"/>
      <c r="AD5" s="296"/>
    </row>
    <row r="6" spans="1:72" x14ac:dyDescent="0.2">
      <c r="H6" s="24" t="s">
        <v>666</v>
      </c>
      <c r="I6" s="351">
        <f>ROUNDDOWN(MIN(I8:I2000),-2)</f>
        <v>800</v>
      </c>
      <c r="L6">
        <f>MIN(J8:J39)</f>
        <v>0</v>
      </c>
      <c r="M6">
        <f>MAX(J8:J39)</f>
        <v>0</v>
      </c>
      <c r="V6" s="332" t="s">
        <v>667</v>
      </c>
      <c r="X6" s="296" t="s">
        <v>668</v>
      </c>
      <c r="Y6" s="296"/>
      <c r="Z6" s="296"/>
      <c r="AA6" s="296"/>
      <c r="AB6" s="296"/>
      <c r="AC6" s="296"/>
      <c r="AD6" s="296"/>
    </row>
    <row r="7" spans="1:72" s="1" customFormat="1" ht="51" x14ac:dyDescent="0.2">
      <c r="B7" s="352" t="s">
        <v>669</v>
      </c>
      <c r="C7" s="1" t="s">
        <v>670</v>
      </c>
      <c r="D7" s="1" t="s">
        <v>671</v>
      </c>
      <c r="E7" s="1" t="s">
        <v>672</v>
      </c>
      <c r="F7" s="1" t="s">
        <v>673</v>
      </c>
      <c r="G7" s="1" t="s">
        <v>674</v>
      </c>
      <c r="H7" s="1" t="s">
        <v>675</v>
      </c>
      <c r="I7" s="1" t="s">
        <v>676</v>
      </c>
      <c r="J7" s="1" t="s">
        <v>677</v>
      </c>
      <c r="K7" s="1" t="s">
        <v>678</v>
      </c>
      <c r="L7" s="1" t="s">
        <v>679</v>
      </c>
      <c r="M7" s="1" t="s">
        <v>680</v>
      </c>
      <c r="N7" s="1" t="s">
        <v>681</v>
      </c>
      <c r="O7" s="1" t="s">
        <v>682</v>
      </c>
      <c r="P7" s="1" t="s">
        <v>683</v>
      </c>
      <c r="Q7" s="1" t="s">
        <v>684</v>
      </c>
      <c r="R7" s="1" t="s">
        <v>685</v>
      </c>
      <c r="S7" s="1" t="s">
        <v>686</v>
      </c>
      <c r="T7" s="1" t="s">
        <v>687</v>
      </c>
      <c r="U7" s="1" t="s">
        <v>688</v>
      </c>
      <c r="V7" s="385" t="s">
        <v>689</v>
      </c>
      <c r="W7" s="1" t="s">
        <v>690</v>
      </c>
      <c r="X7" s="1" t="s">
        <v>691</v>
      </c>
      <c r="Y7" s="1" t="s">
        <v>692</v>
      </c>
      <c r="Z7" s="1" t="s">
        <v>693</v>
      </c>
      <c r="AA7" s="1" t="s">
        <v>694</v>
      </c>
      <c r="AB7" s="1" t="s">
        <v>695</v>
      </c>
      <c r="AC7" s="1" t="s">
        <v>696</v>
      </c>
      <c r="AD7" s="1" t="s">
        <v>697</v>
      </c>
      <c r="AE7" s="1" t="s">
        <v>698</v>
      </c>
      <c r="AF7" s="1" t="s">
        <v>699</v>
      </c>
      <c r="AG7" s="1" t="s">
        <v>700</v>
      </c>
      <c r="AH7" s="1" t="s">
        <v>701</v>
      </c>
      <c r="AI7" s="1" t="s">
        <v>702</v>
      </c>
      <c r="AJ7" s="1" t="s">
        <v>703</v>
      </c>
      <c r="AK7" s="1" t="s">
        <v>704</v>
      </c>
      <c r="AL7" s="1" t="s">
        <v>705</v>
      </c>
      <c r="AM7" s="1" t="s">
        <v>706</v>
      </c>
      <c r="AN7" s="1" t="s">
        <v>707</v>
      </c>
      <c r="AO7" s="1" t="s">
        <v>708</v>
      </c>
      <c r="AP7" s="1" t="s">
        <v>709</v>
      </c>
      <c r="AQ7" s="1" t="s">
        <v>710</v>
      </c>
      <c r="AR7" s="1" t="s">
        <v>711</v>
      </c>
      <c r="AS7" s="1" t="s">
        <v>712</v>
      </c>
      <c r="AT7" s="1" t="s">
        <v>713</v>
      </c>
      <c r="AU7" s="1" t="s">
        <v>714</v>
      </c>
      <c r="AV7" s="1" t="s">
        <v>715</v>
      </c>
      <c r="AW7" s="1" t="s">
        <v>716</v>
      </c>
      <c r="AX7" s="1" t="s">
        <v>717</v>
      </c>
      <c r="AY7" s="1" t="s">
        <v>718</v>
      </c>
      <c r="AZ7" s="1" t="s">
        <v>719</v>
      </c>
      <c r="BA7" s="1" t="s">
        <v>720</v>
      </c>
      <c r="BB7" s="1" t="s">
        <v>721</v>
      </c>
      <c r="BC7" s="1" t="s">
        <v>722</v>
      </c>
      <c r="BD7" s="1" t="s">
        <v>723</v>
      </c>
      <c r="BE7" s="1" t="s">
        <v>724</v>
      </c>
      <c r="BF7" s="1" t="s">
        <v>725</v>
      </c>
      <c r="BG7" s="1" t="s">
        <v>726</v>
      </c>
      <c r="BH7" s="1" t="s">
        <v>727</v>
      </c>
      <c r="BI7" s="1" t="s">
        <v>728</v>
      </c>
      <c r="BJ7" s="1" t="s">
        <v>729</v>
      </c>
      <c r="BK7" s="1" t="s">
        <v>730</v>
      </c>
      <c r="BL7" s="1" t="s">
        <v>731</v>
      </c>
      <c r="BM7" s="1" t="s">
        <v>732</v>
      </c>
      <c r="BN7" s="1" t="s">
        <v>733</v>
      </c>
      <c r="BO7" s="1" t="s">
        <v>734</v>
      </c>
      <c r="BP7" s="1" t="s">
        <v>735</v>
      </c>
      <c r="BQ7" s="1" t="s">
        <v>736</v>
      </c>
      <c r="BR7" s="1" t="s">
        <v>737</v>
      </c>
      <c r="BS7" s="1" t="s">
        <v>738</v>
      </c>
      <c r="BT7" s="1" t="s">
        <v>739</v>
      </c>
    </row>
    <row r="8" spans="1:72" x14ac:dyDescent="0.2">
      <c r="B8" s="167">
        <v>1</v>
      </c>
      <c r="D8">
        <v>25.004999999999999</v>
      </c>
      <c r="I8">
        <v>800</v>
      </c>
      <c r="M8" s="259">
        <v>21916</v>
      </c>
      <c r="N8">
        <v>180</v>
      </c>
      <c r="O8" t="s">
        <v>1141</v>
      </c>
      <c r="P8" t="s">
        <v>1142</v>
      </c>
      <c r="Q8">
        <v>19.3</v>
      </c>
      <c r="S8">
        <v>0</v>
      </c>
      <c r="U8" t="s">
        <v>1143</v>
      </c>
      <c r="V8" s="332"/>
      <c r="Z8" s="338"/>
      <c r="AA8" s="209"/>
      <c r="AB8" s="209"/>
      <c r="AC8" s="338"/>
    </row>
    <row r="9" spans="1:72" x14ac:dyDescent="0.2">
      <c r="B9" s="167">
        <v>2</v>
      </c>
      <c r="C9">
        <v>350</v>
      </c>
      <c r="D9">
        <v>25.004999999999999</v>
      </c>
      <c r="G9">
        <v>350</v>
      </c>
      <c r="I9">
        <v>800</v>
      </c>
      <c r="M9" s="259">
        <v>21916</v>
      </c>
      <c r="N9">
        <v>180</v>
      </c>
      <c r="O9" t="s">
        <v>1141</v>
      </c>
      <c r="P9" t="s">
        <v>1142</v>
      </c>
      <c r="Q9">
        <v>19.3</v>
      </c>
      <c r="S9">
        <v>0</v>
      </c>
      <c r="U9" t="s">
        <v>1143</v>
      </c>
      <c r="Z9" s="338"/>
      <c r="AA9" s="209"/>
      <c r="AB9" s="209"/>
      <c r="AC9" s="338"/>
    </row>
    <row r="10" spans="1:72" x14ac:dyDescent="0.2">
      <c r="B10" s="167">
        <v>3</v>
      </c>
      <c r="C10">
        <v>700</v>
      </c>
      <c r="D10">
        <v>25.004999999999999</v>
      </c>
      <c r="G10">
        <v>700</v>
      </c>
      <c r="I10">
        <v>800</v>
      </c>
      <c r="M10" s="259">
        <v>21916</v>
      </c>
      <c r="N10">
        <v>180</v>
      </c>
      <c r="O10" t="s">
        <v>1141</v>
      </c>
      <c r="P10" t="s">
        <v>1142</v>
      </c>
      <c r="Q10">
        <v>19.3</v>
      </c>
      <c r="S10">
        <v>0</v>
      </c>
      <c r="U10" t="s">
        <v>1143</v>
      </c>
      <c r="Z10" s="338"/>
      <c r="AA10" s="209"/>
      <c r="AB10" s="209"/>
      <c r="AC10" s="338"/>
    </row>
    <row r="11" spans="1:72" x14ac:dyDescent="0.2">
      <c r="B11" s="167">
        <v>4</v>
      </c>
      <c r="G11">
        <v>330</v>
      </c>
      <c r="H11">
        <v>-100</v>
      </c>
      <c r="I11">
        <v>800</v>
      </c>
      <c r="M11" s="259">
        <v>21916</v>
      </c>
      <c r="N11">
        <v>90</v>
      </c>
      <c r="O11" t="s">
        <v>1144</v>
      </c>
      <c r="Q11">
        <v>18.399999999999999</v>
      </c>
      <c r="S11">
        <v>0</v>
      </c>
      <c r="U11" t="s">
        <v>1145</v>
      </c>
      <c r="Z11" s="338"/>
      <c r="AA11" s="209"/>
      <c r="AB11" s="209"/>
      <c r="AC11" s="338"/>
    </row>
    <row r="12" spans="1:72" x14ac:dyDescent="0.2">
      <c r="B12" s="167">
        <v>5</v>
      </c>
      <c r="G12">
        <v>370</v>
      </c>
      <c r="H12">
        <v>-100</v>
      </c>
      <c r="I12">
        <v>800</v>
      </c>
      <c r="M12" s="259">
        <v>21916</v>
      </c>
      <c r="N12">
        <v>90</v>
      </c>
      <c r="O12" t="s">
        <v>1144</v>
      </c>
      <c r="Q12">
        <v>18.399999999999999</v>
      </c>
      <c r="S12">
        <v>0</v>
      </c>
      <c r="U12" t="s">
        <v>1145</v>
      </c>
      <c r="Z12" s="338"/>
      <c r="AA12" s="209"/>
      <c r="AB12" s="209"/>
      <c r="AC12" s="338"/>
    </row>
    <row r="13" spans="1:72" x14ac:dyDescent="0.2">
      <c r="B13" s="167">
        <v>5</v>
      </c>
      <c r="M13" s="259"/>
      <c r="Z13" s="338"/>
      <c r="AA13" s="209"/>
      <c r="AB13" s="209"/>
      <c r="AC13" s="338"/>
    </row>
    <row r="14" spans="1:72" x14ac:dyDescent="0.2">
      <c r="B14" s="167">
        <v>6</v>
      </c>
      <c r="M14" s="259"/>
      <c r="Z14" s="338"/>
      <c r="AA14" s="209"/>
      <c r="AB14" s="209"/>
      <c r="AC14" s="338"/>
    </row>
    <row r="15" spans="1:72" x14ac:dyDescent="0.2">
      <c r="B15" s="167">
        <v>7</v>
      </c>
      <c r="M15" s="259"/>
      <c r="Z15" s="338"/>
      <c r="AA15" s="209"/>
      <c r="AB15" s="209"/>
      <c r="AC15" s="338"/>
    </row>
    <row r="16" spans="1:72" x14ac:dyDescent="0.2">
      <c r="B16" s="167">
        <v>8</v>
      </c>
      <c r="M16" s="259"/>
      <c r="Z16" s="338"/>
      <c r="AA16" s="209"/>
      <c r="AB16" s="209"/>
      <c r="AC16" s="338"/>
    </row>
    <row r="17" spans="2:29" x14ac:dyDescent="0.2">
      <c r="B17" s="167">
        <v>9</v>
      </c>
      <c r="M17" s="259"/>
      <c r="Z17" s="338"/>
      <c r="AA17" s="209"/>
      <c r="AB17" s="209"/>
      <c r="AC17" s="338"/>
    </row>
    <row r="18" spans="2:29" x14ac:dyDescent="0.2">
      <c r="B18" s="167">
        <v>10</v>
      </c>
      <c r="M18" s="259"/>
      <c r="Z18" s="338"/>
      <c r="AA18" s="209"/>
      <c r="AB18" s="209"/>
      <c r="AC18" s="338"/>
    </row>
    <row r="19" spans="2:29" x14ac:dyDescent="0.2">
      <c r="B19" s="167">
        <v>11</v>
      </c>
      <c r="M19" s="259"/>
      <c r="Z19" s="338"/>
      <c r="AA19" s="209"/>
      <c r="AB19" s="209"/>
      <c r="AC19" s="338"/>
    </row>
    <row r="20" spans="2:29" x14ac:dyDescent="0.2">
      <c r="B20" s="167">
        <v>12</v>
      </c>
      <c r="M20" s="259"/>
      <c r="Z20" s="338"/>
      <c r="AA20" s="209"/>
      <c r="AB20" s="209"/>
      <c r="AC20" s="338"/>
    </row>
    <row r="21" spans="2:29" x14ac:dyDescent="0.2">
      <c r="B21" s="167">
        <v>13</v>
      </c>
      <c r="M21" s="259"/>
      <c r="Z21" s="338"/>
      <c r="AA21" s="209"/>
      <c r="AB21" s="209"/>
      <c r="AC21" s="338"/>
    </row>
    <row r="22" spans="2:29" x14ac:dyDescent="0.2">
      <c r="B22" s="167">
        <v>14</v>
      </c>
      <c r="M22" s="259"/>
      <c r="Z22" s="338"/>
      <c r="AA22" s="209"/>
      <c r="AB22" s="209"/>
      <c r="AC22" s="338"/>
    </row>
    <row r="23" spans="2:29" x14ac:dyDescent="0.2">
      <c r="B23" s="167">
        <v>15</v>
      </c>
      <c r="M23" s="259"/>
      <c r="Z23" s="338"/>
      <c r="AA23" s="209"/>
      <c r="AB23" s="209"/>
      <c r="AC23" s="338"/>
    </row>
    <row r="24" spans="2:29" x14ac:dyDescent="0.2">
      <c r="B24" s="167">
        <v>16</v>
      </c>
      <c r="M24" s="259"/>
      <c r="Z24" s="338"/>
      <c r="AA24" s="209"/>
      <c r="AB24" s="209"/>
      <c r="AC24" s="338"/>
    </row>
    <row r="25" spans="2:29" x14ac:dyDescent="0.2">
      <c r="B25" s="167">
        <v>17</v>
      </c>
      <c r="M25" s="259"/>
      <c r="Z25" s="338"/>
      <c r="AA25" s="209"/>
      <c r="AB25" s="209"/>
      <c r="AC25" s="338"/>
    </row>
    <row r="26" spans="2:29" x14ac:dyDescent="0.2">
      <c r="B26" s="167">
        <v>18</v>
      </c>
      <c r="M26" s="259"/>
      <c r="Z26" s="338"/>
      <c r="AA26" s="209"/>
      <c r="AB26" s="209"/>
      <c r="AC26" s="338"/>
    </row>
    <row r="27" spans="2:29" x14ac:dyDescent="0.2">
      <c r="B27" s="167">
        <v>19</v>
      </c>
      <c r="M27" s="259"/>
      <c r="Z27" s="338"/>
      <c r="AA27" s="209"/>
      <c r="AB27" s="209"/>
      <c r="AC27" s="338"/>
    </row>
    <row r="28" spans="2:29" x14ac:dyDescent="0.2">
      <c r="B28" s="167">
        <v>20</v>
      </c>
      <c r="M28" s="259"/>
      <c r="Z28" s="338"/>
      <c r="AA28" s="209"/>
      <c r="AB28" s="209"/>
      <c r="AC28" s="338"/>
    </row>
    <row r="29" spans="2:29" x14ac:dyDescent="0.2">
      <c r="B29" s="167">
        <v>21</v>
      </c>
      <c r="M29" s="259"/>
      <c r="Z29" s="338"/>
      <c r="AA29" s="209"/>
      <c r="AB29" s="209"/>
      <c r="AC29" s="338"/>
    </row>
    <row r="30" spans="2:29" x14ac:dyDescent="0.2">
      <c r="B30" s="167">
        <v>22</v>
      </c>
      <c r="M30" s="259"/>
      <c r="Z30" s="338"/>
      <c r="AA30" s="209"/>
      <c r="AB30" s="209"/>
      <c r="AC30" s="338"/>
    </row>
    <row r="31" spans="2:29" x14ac:dyDescent="0.2">
      <c r="B31" s="167">
        <v>23</v>
      </c>
      <c r="M31" s="259"/>
      <c r="Z31" s="338"/>
      <c r="AA31" s="209"/>
      <c r="AB31" s="209"/>
      <c r="AC31" s="338"/>
    </row>
    <row r="32" spans="2:29" x14ac:dyDescent="0.2">
      <c r="B32" s="167">
        <v>24</v>
      </c>
      <c r="M32" s="259"/>
      <c r="Z32" s="338"/>
      <c r="AA32" s="209"/>
      <c r="AB32" s="209"/>
      <c r="AC32" s="338"/>
    </row>
    <row r="33" spans="2:29" x14ac:dyDescent="0.2">
      <c r="B33" s="167">
        <v>25</v>
      </c>
      <c r="M33" s="259"/>
      <c r="Z33" s="338"/>
      <c r="AA33" s="209"/>
      <c r="AB33" s="209"/>
      <c r="AC33" s="338"/>
    </row>
    <row r="34" spans="2:29" x14ac:dyDescent="0.2">
      <c r="B34" s="167">
        <v>26</v>
      </c>
      <c r="M34" s="259"/>
      <c r="Z34" s="338"/>
      <c r="AA34" s="209"/>
      <c r="AB34" s="209"/>
      <c r="AC34" s="338"/>
    </row>
    <row r="35" spans="2:29" x14ac:dyDescent="0.2">
      <c r="B35" s="167">
        <v>27</v>
      </c>
      <c r="M35" s="259"/>
      <c r="Z35" s="338"/>
      <c r="AA35" s="209"/>
      <c r="AB35" s="209"/>
      <c r="AC35" s="338"/>
    </row>
    <row r="36" spans="2:29" x14ac:dyDescent="0.2">
      <c r="B36" s="167">
        <v>28</v>
      </c>
      <c r="M36" s="259"/>
      <c r="Z36" s="338"/>
      <c r="AA36" s="209"/>
      <c r="AB36" s="209"/>
      <c r="AC36" s="338"/>
    </row>
    <row r="37" spans="2:29" x14ac:dyDescent="0.2">
      <c r="B37" s="167">
        <v>29</v>
      </c>
      <c r="M37" s="259"/>
      <c r="Z37" s="338"/>
      <c r="AA37" s="209"/>
      <c r="AB37" s="209"/>
      <c r="AC37" s="338"/>
    </row>
    <row r="38" spans="2:29" x14ac:dyDescent="0.2">
      <c r="B38" s="167">
        <v>30</v>
      </c>
      <c r="M38" s="259"/>
      <c r="Z38" s="338"/>
      <c r="AA38" s="209"/>
      <c r="AB38" s="209"/>
      <c r="AC38" s="338"/>
    </row>
    <row r="39" spans="2:29" x14ac:dyDescent="0.2">
      <c r="B39" s="167">
        <v>31</v>
      </c>
      <c r="M39" s="259"/>
      <c r="Z39" s="338"/>
      <c r="AA39" s="209"/>
      <c r="AB39" s="209"/>
      <c r="AC39" s="338"/>
    </row>
    <row r="40" spans="2:29" x14ac:dyDescent="0.2">
      <c r="B40" s="167">
        <v>32</v>
      </c>
      <c r="M40" s="259"/>
      <c r="Z40" s="338"/>
      <c r="AA40" s="209"/>
      <c r="AB40" s="209"/>
      <c r="AC40" s="338"/>
    </row>
    <row r="41" spans="2:29" x14ac:dyDescent="0.2">
      <c r="B41" s="167">
        <v>33</v>
      </c>
      <c r="M41" s="259"/>
      <c r="Z41" s="338"/>
      <c r="AA41" s="209"/>
      <c r="AB41" s="209"/>
      <c r="AC41" s="338"/>
    </row>
    <row r="42" spans="2:29" x14ac:dyDescent="0.2">
      <c r="B42" s="167">
        <v>34</v>
      </c>
      <c r="M42" s="259"/>
      <c r="Z42" s="338"/>
      <c r="AA42" s="209"/>
      <c r="AB42" s="209"/>
      <c r="AC42" s="338"/>
    </row>
    <row r="43" spans="2:29" x14ac:dyDescent="0.2">
      <c r="B43" s="167">
        <v>35</v>
      </c>
      <c r="M43" s="259"/>
      <c r="Z43" s="338"/>
      <c r="AA43" s="209"/>
      <c r="AB43" s="209"/>
      <c r="AC43" s="338"/>
    </row>
    <row r="44" spans="2:29" x14ac:dyDescent="0.2">
      <c r="B44" s="167">
        <v>36</v>
      </c>
      <c r="M44" s="259"/>
      <c r="Z44" s="338"/>
      <c r="AA44" s="209"/>
      <c r="AB44" s="209"/>
      <c r="AC44" s="338"/>
    </row>
    <row r="45" spans="2:29" x14ac:dyDescent="0.2">
      <c r="B45" s="167">
        <v>37</v>
      </c>
      <c r="M45" s="259"/>
      <c r="Z45" s="338"/>
      <c r="AA45" s="209"/>
      <c r="AB45" s="209"/>
      <c r="AC45" s="338"/>
    </row>
    <row r="46" spans="2:29" x14ac:dyDescent="0.2">
      <c r="B46" s="167">
        <v>38</v>
      </c>
      <c r="M46" s="259"/>
      <c r="Z46" s="338"/>
      <c r="AA46" s="209"/>
      <c r="AB46" s="209"/>
      <c r="AC46" s="338"/>
    </row>
    <row r="47" spans="2:29" x14ac:dyDescent="0.2">
      <c r="B47" s="167">
        <v>39</v>
      </c>
      <c r="M47" s="259"/>
      <c r="Z47" s="338"/>
      <c r="AA47" s="209"/>
      <c r="AB47" s="209"/>
      <c r="AC47" s="338"/>
    </row>
    <row r="48" spans="2:29" x14ac:dyDescent="0.2">
      <c r="B48" s="167">
        <v>40</v>
      </c>
      <c r="M48" s="259"/>
      <c r="Z48" s="338"/>
      <c r="AA48" s="209"/>
      <c r="AB48" s="209"/>
      <c r="AC48" s="338"/>
    </row>
    <row r="49" spans="2:29" x14ac:dyDescent="0.2">
      <c r="B49" s="167">
        <v>41</v>
      </c>
      <c r="M49" s="259"/>
      <c r="Z49" s="338"/>
      <c r="AA49" s="209"/>
      <c r="AB49" s="209"/>
      <c r="AC49" s="338"/>
    </row>
    <row r="50" spans="2:29" x14ac:dyDescent="0.2">
      <c r="B50" s="167">
        <v>42</v>
      </c>
      <c r="M50" s="259"/>
      <c r="Z50" s="338"/>
      <c r="AA50" s="209"/>
      <c r="AB50" s="209"/>
      <c r="AC50" s="338"/>
    </row>
    <row r="51" spans="2:29" x14ac:dyDescent="0.2">
      <c r="B51" s="167">
        <v>43</v>
      </c>
      <c r="M51" s="259"/>
      <c r="Z51" s="338"/>
      <c r="AA51" s="209"/>
      <c r="AB51" s="209"/>
      <c r="AC51" s="338"/>
    </row>
    <row r="52" spans="2:29" x14ac:dyDescent="0.2">
      <c r="B52" s="167">
        <v>44</v>
      </c>
      <c r="M52" s="259"/>
      <c r="Z52" s="338"/>
      <c r="AA52" s="209"/>
      <c r="AB52" s="209"/>
      <c r="AC52" s="338"/>
    </row>
    <row r="53" spans="2:29" x14ac:dyDescent="0.2">
      <c r="B53" s="167">
        <v>45</v>
      </c>
      <c r="M53" s="259"/>
      <c r="Z53" s="338"/>
      <c r="AA53" s="209"/>
      <c r="AB53" s="209"/>
      <c r="AC53" s="338"/>
    </row>
    <row r="54" spans="2:29" x14ac:dyDescent="0.2">
      <c r="B54" s="167">
        <v>46</v>
      </c>
      <c r="M54" s="259"/>
      <c r="Z54" s="338"/>
      <c r="AA54" s="209"/>
      <c r="AB54" s="209"/>
      <c r="AC54" s="338"/>
    </row>
    <row r="55" spans="2:29" x14ac:dyDescent="0.2">
      <c r="B55" s="167">
        <v>47</v>
      </c>
      <c r="M55" s="259"/>
      <c r="Z55" s="338"/>
      <c r="AA55" s="209"/>
      <c r="AB55" s="209"/>
      <c r="AC55" s="338"/>
    </row>
    <row r="56" spans="2:29" x14ac:dyDescent="0.2">
      <c r="B56" s="167">
        <v>48</v>
      </c>
      <c r="M56" s="259"/>
      <c r="Z56" s="338"/>
      <c r="AA56" s="209"/>
      <c r="AB56" s="209"/>
      <c r="AC56" s="338"/>
    </row>
    <row r="57" spans="2:29" x14ac:dyDescent="0.2">
      <c r="B57" s="167">
        <v>49</v>
      </c>
      <c r="M57" s="259"/>
      <c r="Z57" s="338"/>
      <c r="AA57" s="209"/>
      <c r="AB57" s="209"/>
      <c r="AC57" s="338"/>
    </row>
    <row r="58" spans="2:29" x14ac:dyDescent="0.2">
      <c r="B58" s="167">
        <v>50</v>
      </c>
      <c r="M58" s="259"/>
      <c r="Z58" s="338"/>
      <c r="AA58" s="209"/>
      <c r="AB58" s="209"/>
      <c r="AC58" s="338"/>
    </row>
    <row r="59" spans="2:29" x14ac:dyDescent="0.2">
      <c r="B59" s="167">
        <v>51</v>
      </c>
      <c r="M59" s="259"/>
      <c r="Z59" s="338"/>
      <c r="AA59" s="209"/>
      <c r="AB59" s="209"/>
      <c r="AC59" s="338"/>
    </row>
    <row r="60" spans="2:29" x14ac:dyDescent="0.2">
      <c r="B60" s="167">
        <v>52</v>
      </c>
      <c r="M60" s="259"/>
      <c r="Z60" s="338"/>
      <c r="AA60" s="209"/>
      <c r="AB60" s="209"/>
      <c r="AC60" s="338"/>
    </row>
    <row r="61" spans="2:29" x14ac:dyDescent="0.2">
      <c r="B61" s="167">
        <v>53</v>
      </c>
      <c r="M61" s="259"/>
      <c r="Z61" s="338"/>
      <c r="AA61" s="209"/>
      <c r="AB61" s="209"/>
      <c r="AC61" s="338"/>
    </row>
    <row r="62" spans="2:29" x14ac:dyDescent="0.2">
      <c r="B62" s="167">
        <v>54</v>
      </c>
      <c r="M62" s="259"/>
      <c r="Z62" s="338"/>
      <c r="AA62" s="209"/>
      <c r="AB62" s="209"/>
      <c r="AC62" s="338"/>
    </row>
    <row r="63" spans="2:29" x14ac:dyDescent="0.2">
      <c r="B63" s="167">
        <v>55</v>
      </c>
      <c r="M63" s="259"/>
      <c r="Z63" s="338"/>
      <c r="AA63" s="209"/>
      <c r="AB63" s="209"/>
      <c r="AC63" s="338"/>
    </row>
    <row r="64" spans="2:29" x14ac:dyDescent="0.2">
      <c r="B64" s="167">
        <v>56</v>
      </c>
      <c r="M64" s="259"/>
      <c r="Z64" s="338"/>
      <c r="AA64" s="209"/>
      <c r="AB64" s="209"/>
      <c r="AC64" s="338"/>
    </row>
    <row r="65" spans="2:29" x14ac:dyDescent="0.2">
      <c r="B65" s="167">
        <v>57</v>
      </c>
      <c r="M65" s="259"/>
      <c r="Z65" s="338"/>
      <c r="AA65" s="209"/>
      <c r="AB65" s="209"/>
      <c r="AC65" s="338"/>
    </row>
    <row r="66" spans="2:29" x14ac:dyDescent="0.2">
      <c r="B66" s="167">
        <v>58</v>
      </c>
      <c r="M66" s="259"/>
      <c r="Z66" s="338"/>
      <c r="AA66" s="209"/>
      <c r="AB66" s="209"/>
      <c r="AC66" s="338"/>
    </row>
    <row r="67" spans="2:29" x14ac:dyDescent="0.2">
      <c r="B67" s="167">
        <v>59</v>
      </c>
      <c r="M67" s="259"/>
      <c r="Z67" s="338"/>
      <c r="AA67" s="209"/>
      <c r="AB67" s="209"/>
      <c r="AC67" s="338"/>
    </row>
    <row r="68" spans="2:29" x14ac:dyDescent="0.2">
      <c r="B68" s="167">
        <v>60</v>
      </c>
      <c r="M68" s="259"/>
      <c r="Z68" s="338"/>
      <c r="AA68" s="209"/>
      <c r="AB68" s="209"/>
      <c r="AC68" s="338"/>
    </row>
    <row r="69" spans="2:29" x14ac:dyDescent="0.2">
      <c r="B69" s="167">
        <v>61</v>
      </c>
      <c r="M69" s="259"/>
      <c r="Z69" s="338"/>
      <c r="AA69" s="209"/>
      <c r="AB69" s="209"/>
      <c r="AC69" s="338"/>
    </row>
    <row r="70" spans="2:29" x14ac:dyDescent="0.2">
      <c r="B70" s="167">
        <v>62</v>
      </c>
      <c r="M70" s="259"/>
      <c r="Z70" s="338"/>
      <c r="AA70" s="209"/>
      <c r="AB70" s="209"/>
      <c r="AC70" s="338"/>
    </row>
    <row r="71" spans="2:29" x14ac:dyDescent="0.2">
      <c r="B71" s="167">
        <v>63</v>
      </c>
      <c r="M71" s="259"/>
      <c r="Z71" s="338"/>
      <c r="AA71" s="209"/>
      <c r="AB71" s="209"/>
      <c r="AC71" s="338"/>
    </row>
    <row r="72" spans="2:29" x14ac:dyDescent="0.2">
      <c r="B72" s="167">
        <v>64</v>
      </c>
      <c r="M72" s="259"/>
      <c r="Z72" s="338"/>
      <c r="AA72" s="209"/>
      <c r="AB72" s="209"/>
      <c r="AC72" s="338"/>
    </row>
    <row r="73" spans="2:29" x14ac:dyDescent="0.2">
      <c r="B73" s="167">
        <v>65</v>
      </c>
      <c r="M73" s="259"/>
      <c r="Z73" s="338"/>
      <c r="AA73" s="209"/>
      <c r="AB73" s="209"/>
      <c r="AC73" s="338"/>
    </row>
    <row r="74" spans="2:29" x14ac:dyDescent="0.2">
      <c r="B74" s="167">
        <v>66</v>
      </c>
      <c r="M74" s="259"/>
      <c r="Z74" s="338"/>
      <c r="AA74" s="209"/>
      <c r="AB74" s="209"/>
      <c r="AC74" s="338"/>
    </row>
    <row r="75" spans="2:29" x14ac:dyDescent="0.2">
      <c r="B75" s="167">
        <v>67</v>
      </c>
      <c r="M75" s="259"/>
      <c r="Z75" s="338"/>
      <c r="AA75" s="209"/>
      <c r="AB75" s="209"/>
      <c r="AC75" s="338"/>
    </row>
    <row r="76" spans="2:29" x14ac:dyDescent="0.2">
      <c r="B76" s="167">
        <v>68</v>
      </c>
      <c r="M76" s="259"/>
      <c r="Z76" s="338"/>
      <c r="AA76" s="209"/>
      <c r="AB76" s="209"/>
      <c r="AC76" s="338"/>
    </row>
    <row r="77" spans="2:29" x14ac:dyDescent="0.2">
      <c r="B77" s="167">
        <v>69</v>
      </c>
      <c r="M77" s="259"/>
      <c r="Z77" s="338"/>
      <c r="AA77" s="209"/>
      <c r="AB77" s="209"/>
      <c r="AC77" s="338"/>
    </row>
    <row r="78" spans="2:29" x14ac:dyDescent="0.2">
      <c r="B78" s="167">
        <v>70</v>
      </c>
      <c r="M78" s="259"/>
      <c r="Z78" s="338"/>
      <c r="AA78" s="209"/>
      <c r="AB78" s="209"/>
      <c r="AC78" s="338"/>
    </row>
    <row r="79" spans="2:29" x14ac:dyDescent="0.2">
      <c r="B79" s="167">
        <v>71</v>
      </c>
      <c r="M79" s="259"/>
      <c r="Z79" s="338"/>
      <c r="AA79" s="209"/>
      <c r="AB79" s="209"/>
      <c r="AC79" s="338"/>
    </row>
    <row r="80" spans="2:29" x14ac:dyDescent="0.2">
      <c r="B80" s="167">
        <v>72</v>
      </c>
      <c r="M80" s="259"/>
      <c r="Z80" s="338"/>
      <c r="AA80" s="209"/>
      <c r="AB80" s="209"/>
      <c r="AC80" s="338"/>
    </row>
    <row r="81" spans="2:29" x14ac:dyDescent="0.2">
      <c r="B81" s="167">
        <v>73</v>
      </c>
      <c r="M81" s="259"/>
      <c r="Z81" s="338"/>
      <c r="AA81" s="209"/>
      <c r="AB81" s="209"/>
      <c r="AC81" s="338"/>
    </row>
    <row r="82" spans="2:29" x14ac:dyDescent="0.2">
      <c r="B82" s="167">
        <v>74</v>
      </c>
      <c r="M82" s="259"/>
      <c r="Z82" s="338"/>
      <c r="AA82" s="209"/>
      <c r="AB82" s="209"/>
      <c r="AC82" s="338"/>
    </row>
    <row r="83" spans="2:29" x14ac:dyDescent="0.2">
      <c r="B83" s="167">
        <v>75</v>
      </c>
      <c r="M83" s="259"/>
      <c r="Z83" s="338"/>
      <c r="AA83" s="209"/>
      <c r="AB83" s="209"/>
      <c r="AC83" s="338"/>
    </row>
    <row r="84" spans="2:29" x14ac:dyDescent="0.2">
      <c r="B84" s="167">
        <v>76</v>
      </c>
      <c r="M84" s="259"/>
      <c r="Z84" s="338"/>
      <c r="AA84" s="209"/>
      <c r="AB84" s="209"/>
      <c r="AC84" s="338"/>
    </row>
    <row r="85" spans="2:29" x14ac:dyDescent="0.2">
      <c r="B85" s="167">
        <v>77</v>
      </c>
      <c r="M85" s="259"/>
      <c r="Z85" s="338"/>
      <c r="AA85" s="209"/>
      <c r="AB85" s="209"/>
      <c r="AC85" s="338"/>
    </row>
    <row r="86" spans="2:29" x14ac:dyDescent="0.2">
      <c r="B86" s="167">
        <v>78</v>
      </c>
      <c r="M86" s="259"/>
      <c r="Z86" s="338"/>
      <c r="AA86" s="209"/>
      <c r="AB86" s="209"/>
      <c r="AC86" s="338"/>
    </row>
    <row r="87" spans="2:29" x14ac:dyDescent="0.2">
      <c r="B87" s="167">
        <v>79</v>
      </c>
      <c r="M87" s="259"/>
      <c r="Z87" s="338"/>
      <c r="AA87" s="209"/>
      <c r="AB87" s="209"/>
      <c r="AC87" s="338"/>
    </row>
    <row r="88" spans="2:29" x14ac:dyDescent="0.2">
      <c r="B88" s="167">
        <v>80</v>
      </c>
      <c r="M88" s="259"/>
      <c r="Z88" s="338"/>
      <c r="AA88" s="209"/>
      <c r="AB88" s="209"/>
      <c r="AC88" s="338"/>
    </row>
    <row r="89" spans="2:29" x14ac:dyDescent="0.2">
      <c r="B89" s="167">
        <v>81</v>
      </c>
      <c r="M89" s="259"/>
      <c r="Z89" s="338"/>
      <c r="AA89" s="209"/>
      <c r="AB89" s="209"/>
      <c r="AC89" s="338"/>
    </row>
    <row r="90" spans="2:29" x14ac:dyDescent="0.2">
      <c r="B90" s="167">
        <v>82</v>
      </c>
      <c r="M90" s="259"/>
      <c r="Z90" s="338"/>
      <c r="AA90" s="209"/>
      <c r="AB90" s="209"/>
      <c r="AC90" s="338"/>
    </row>
    <row r="91" spans="2:29" x14ac:dyDescent="0.2">
      <c r="B91" s="167">
        <v>83</v>
      </c>
      <c r="M91" s="259"/>
      <c r="Z91" s="338"/>
      <c r="AA91" s="209"/>
      <c r="AB91" s="209"/>
      <c r="AC91" s="338"/>
    </row>
    <row r="92" spans="2:29" x14ac:dyDescent="0.2">
      <c r="B92" s="167">
        <v>84</v>
      </c>
      <c r="M92" s="259"/>
      <c r="Z92" s="338"/>
      <c r="AA92" s="209"/>
      <c r="AB92" s="209"/>
      <c r="AC92" s="338"/>
    </row>
    <row r="93" spans="2:29" x14ac:dyDescent="0.2">
      <c r="B93" s="167">
        <v>85</v>
      </c>
      <c r="M93" s="259"/>
      <c r="Z93" s="338"/>
      <c r="AA93" s="209"/>
      <c r="AB93" s="209"/>
      <c r="AC93" s="338"/>
    </row>
    <row r="94" spans="2:29" x14ac:dyDescent="0.2">
      <c r="B94" s="167">
        <v>86</v>
      </c>
      <c r="M94" s="259"/>
      <c r="Z94" s="338"/>
      <c r="AA94" s="209"/>
      <c r="AB94" s="209"/>
      <c r="AC94" s="338"/>
    </row>
    <row r="95" spans="2:29" x14ac:dyDescent="0.2">
      <c r="B95" s="167">
        <v>87</v>
      </c>
      <c r="M95" s="259"/>
      <c r="Z95" s="338"/>
      <c r="AA95" s="209"/>
      <c r="AB95" s="209"/>
      <c r="AC95" s="338"/>
    </row>
    <row r="96" spans="2:29" x14ac:dyDescent="0.2">
      <c r="B96" s="167">
        <v>88</v>
      </c>
      <c r="M96" s="259"/>
      <c r="Z96" s="338"/>
      <c r="AA96" s="209"/>
      <c r="AB96" s="209"/>
      <c r="AC96" s="338"/>
    </row>
    <row r="97" spans="2:29" x14ac:dyDescent="0.2">
      <c r="B97" s="167">
        <v>89</v>
      </c>
      <c r="M97" s="259"/>
      <c r="Z97" s="338"/>
      <c r="AA97" s="209"/>
      <c r="AB97" s="209"/>
      <c r="AC97" s="338"/>
    </row>
    <row r="98" spans="2:29" x14ac:dyDescent="0.2">
      <c r="B98" s="167">
        <v>90</v>
      </c>
      <c r="M98" s="259"/>
      <c r="Z98" s="338"/>
      <c r="AA98" s="209"/>
      <c r="AB98" s="209"/>
      <c r="AC98" s="338"/>
    </row>
    <row r="99" spans="2:29" x14ac:dyDescent="0.2">
      <c r="B99" s="167">
        <v>91</v>
      </c>
      <c r="M99" s="259"/>
      <c r="Z99" s="338"/>
      <c r="AA99" s="209"/>
      <c r="AB99" s="209"/>
      <c r="AC99" s="338"/>
    </row>
    <row r="100" spans="2:29" x14ac:dyDescent="0.2">
      <c r="B100" s="167">
        <v>92</v>
      </c>
      <c r="M100" s="259"/>
      <c r="Z100" s="338"/>
      <c r="AA100" s="209"/>
      <c r="AB100" s="209"/>
      <c r="AC100" s="338"/>
    </row>
    <row r="101" spans="2:29" x14ac:dyDescent="0.2">
      <c r="B101" s="167">
        <v>93</v>
      </c>
      <c r="M101" s="259"/>
      <c r="Z101" s="338"/>
      <c r="AA101" s="209"/>
      <c r="AB101" s="209"/>
      <c r="AC101" s="338"/>
    </row>
    <row r="102" spans="2:29" x14ac:dyDescent="0.2">
      <c r="B102" s="167">
        <v>94</v>
      </c>
      <c r="M102" s="259"/>
      <c r="Z102" s="338"/>
      <c r="AA102" s="209"/>
      <c r="AB102" s="209"/>
      <c r="AC102" s="338"/>
    </row>
    <row r="103" spans="2:29" x14ac:dyDescent="0.2">
      <c r="B103" s="167">
        <v>95</v>
      </c>
      <c r="M103" s="259"/>
      <c r="Z103" s="338"/>
      <c r="AA103" s="209"/>
      <c r="AB103" s="209"/>
      <c r="AC103" s="338"/>
    </row>
    <row r="104" spans="2:29" x14ac:dyDescent="0.2">
      <c r="B104" s="167">
        <v>96</v>
      </c>
      <c r="M104" s="259"/>
      <c r="Z104" s="338"/>
      <c r="AA104" s="209"/>
      <c r="AB104" s="209"/>
      <c r="AC104" s="338"/>
    </row>
    <row r="105" spans="2:29" x14ac:dyDescent="0.2">
      <c r="B105" s="167">
        <v>97</v>
      </c>
      <c r="M105" s="259"/>
      <c r="Z105" s="338"/>
      <c r="AA105" s="209"/>
      <c r="AB105" s="209"/>
      <c r="AC105" s="338"/>
    </row>
    <row r="106" spans="2:29" x14ac:dyDescent="0.2">
      <c r="B106" s="167" t="s">
        <v>1136</v>
      </c>
      <c r="M106" s="259"/>
      <c r="Z106" s="338"/>
      <c r="AA106" s="209"/>
      <c r="AB106" s="209"/>
      <c r="AC106" s="338"/>
    </row>
    <row r="107" spans="2:29" x14ac:dyDescent="0.2">
      <c r="B107" s="167">
        <v>98</v>
      </c>
      <c r="M107" s="259"/>
      <c r="Z107" s="338"/>
      <c r="AA107" s="209"/>
      <c r="AB107" s="209"/>
      <c r="AC107" s="338"/>
    </row>
    <row r="108" spans="2:29" x14ac:dyDescent="0.2">
      <c r="B108" s="167">
        <v>99</v>
      </c>
      <c r="M108" s="259"/>
      <c r="Z108" s="338"/>
      <c r="AA108" s="209"/>
      <c r="AB108" s="209"/>
      <c r="AC108" s="338"/>
    </row>
    <row r="109" spans="2:29" x14ac:dyDescent="0.2">
      <c r="B109" s="167">
        <v>100</v>
      </c>
      <c r="M109" s="259"/>
      <c r="Z109" s="338"/>
      <c r="AA109" s="209"/>
      <c r="AB109" s="209"/>
      <c r="AC109" s="338"/>
    </row>
    <row r="110" spans="2:29" x14ac:dyDescent="0.2">
      <c r="B110" s="167">
        <v>101</v>
      </c>
      <c r="M110" s="259"/>
      <c r="Z110" s="338"/>
      <c r="AA110" s="209"/>
      <c r="AB110" s="209"/>
      <c r="AC110" s="338"/>
    </row>
    <row r="111" spans="2:29" x14ac:dyDescent="0.2">
      <c r="B111" s="167">
        <v>102</v>
      </c>
      <c r="M111" s="259"/>
      <c r="Z111" s="338"/>
      <c r="AA111" s="209"/>
      <c r="AB111" s="209"/>
      <c r="AC111" s="338"/>
    </row>
    <row r="112" spans="2:29" x14ac:dyDescent="0.2">
      <c r="B112" s="167">
        <v>103</v>
      </c>
      <c r="M112" s="259"/>
      <c r="Z112" s="338"/>
      <c r="AA112" s="209"/>
      <c r="AB112" s="209"/>
      <c r="AC112" s="338"/>
    </row>
    <row r="113" spans="2:29" x14ac:dyDescent="0.2">
      <c r="B113" s="167">
        <v>104</v>
      </c>
      <c r="M113" s="259"/>
      <c r="Z113" s="338"/>
      <c r="AA113" s="209"/>
      <c r="AB113" s="209"/>
      <c r="AC113" s="338"/>
    </row>
    <row r="114" spans="2:29" x14ac:dyDescent="0.2">
      <c r="B114" s="167">
        <v>105</v>
      </c>
      <c r="M114" s="259"/>
      <c r="Z114" s="338"/>
      <c r="AA114" s="209"/>
      <c r="AB114" s="209"/>
      <c r="AC114" s="338"/>
    </row>
    <row r="115" spans="2:29" x14ac:dyDescent="0.2">
      <c r="B115" s="167">
        <v>106</v>
      </c>
      <c r="M115" s="259"/>
      <c r="Z115" s="338"/>
      <c r="AA115" s="209"/>
      <c r="AB115" s="209"/>
      <c r="AC115" s="338"/>
    </row>
    <row r="116" spans="2:29" x14ac:dyDescent="0.2">
      <c r="B116" s="167">
        <v>107</v>
      </c>
      <c r="M116" s="259"/>
      <c r="Z116" s="338"/>
      <c r="AA116" s="209"/>
      <c r="AB116" s="209"/>
      <c r="AC116" s="338"/>
    </row>
    <row r="117" spans="2:29" x14ac:dyDescent="0.2">
      <c r="B117" s="167">
        <v>108</v>
      </c>
      <c r="M117" s="259"/>
      <c r="Z117" s="338"/>
      <c r="AA117" s="209"/>
      <c r="AB117" s="209"/>
      <c r="AC117" s="338"/>
    </row>
    <row r="118" spans="2:29" x14ac:dyDescent="0.2">
      <c r="B118" s="167">
        <v>109</v>
      </c>
      <c r="M118" s="259"/>
      <c r="Z118" s="338"/>
      <c r="AA118" s="209"/>
      <c r="AB118" s="209"/>
      <c r="AC118" s="338"/>
    </row>
    <row r="119" spans="2:29" x14ac:dyDescent="0.2">
      <c r="B119" s="167">
        <v>110</v>
      </c>
      <c r="M119" s="259"/>
      <c r="Z119" s="338"/>
      <c r="AA119" s="209"/>
      <c r="AB119" s="209"/>
      <c r="AC119" s="338"/>
    </row>
    <row r="120" spans="2:29" x14ac:dyDescent="0.2">
      <c r="B120" s="167">
        <v>111</v>
      </c>
      <c r="M120" s="259"/>
      <c r="Z120" s="338"/>
      <c r="AA120" s="209"/>
      <c r="AB120" s="209"/>
      <c r="AC120" s="338"/>
    </row>
    <row r="121" spans="2:29" x14ac:dyDescent="0.2">
      <c r="B121" s="167">
        <v>112</v>
      </c>
      <c r="M121" s="259"/>
      <c r="Z121" s="338"/>
      <c r="AA121" s="209"/>
      <c r="AB121" s="209"/>
      <c r="AC121" s="338"/>
    </row>
    <row r="122" spans="2:29" x14ac:dyDescent="0.2">
      <c r="B122" s="167">
        <v>113</v>
      </c>
      <c r="M122" s="259"/>
      <c r="Z122" s="338"/>
      <c r="AA122" s="209"/>
      <c r="AB122" s="209"/>
      <c r="AC122" s="338"/>
    </row>
    <row r="123" spans="2:29" x14ac:dyDescent="0.2">
      <c r="B123" s="167">
        <v>114</v>
      </c>
      <c r="M123" s="259"/>
      <c r="Z123" s="338"/>
      <c r="AA123" s="209"/>
      <c r="AB123" s="209"/>
      <c r="AC123" s="338"/>
    </row>
    <row r="124" spans="2:29" x14ac:dyDescent="0.2">
      <c r="B124" s="167">
        <v>115</v>
      </c>
      <c r="M124" s="259"/>
      <c r="Z124" s="338"/>
      <c r="AA124" s="209"/>
      <c r="AB124" s="209"/>
      <c r="AC124" s="338"/>
    </row>
    <row r="125" spans="2:29" x14ac:dyDescent="0.2">
      <c r="B125" s="167">
        <v>116</v>
      </c>
      <c r="M125" s="259"/>
      <c r="Z125" s="338"/>
      <c r="AA125" s="209"/>
      <c r="AB125" s="209"/>
      <c r="AC125" s="338"/>
    </row>
    <row r="126" spans="2:29" x14ac:dyDescent="0.2">
      <c r="B126" s="167">
        <v>117</v>
      </c>
      <c r="M126" s="259"/>
      <c r="Z126" s="338"/>
      <c r="AA126" s="209"/>
      <c r="AB126" s="209"/>
      <c r="AC126" s="338"/>
    </row>
    <row r="127" spans="2:29" x14ac:dyDescent="0.2">
      <c r="B127" s="167">
        <v>118</v>
      </c>
      <c r="M127" s="259"/>
      <c r="Z127" s="338"/>
      <c r="AA127" s="209"/>
      <c r="AB127" s="209"/>
      <c r="AC127" s="338"/>
    </row>
    <row r="128" spans="2:29" x14ac:dyDescent="0.2">
      <c r="B128" s="167">
        <v>119</v>
      </c>
      <c r="M128" s="259"/>
      <c r="Z128" s="338"/>
      <c r="AA128" s="209"/>
      <c r="AB128" s="209"/>
      <c r="AC128" s="338"/>
    </row>
    <row r="129" spans="2:29" x14ac:dyDescent="0.2">
      <c r="B129" s="167">
        <v>120</v>
      </c>
      <c r="M129" s="259"/>
      <c r="Z129" s="338"/>
      <c r="AA129" s="209"/>
      <c r="AB129" s="209"/>
      <c r="AC129" s="338"/>
    </row>
    <row r="130" spans="2:29" x14ac:dyDescent="0.2">
      <c r="B130" s="167">
        <v>121</v>
      </c>
      <c r="M130" s="259"/>
      <c r="Z130" s="338"/>
      <c r="AA130" s="209"/>
      <c r="AB130" s="209"/>
      <c r="AC130" s="338"/>
    </row>
    <row r="131" spans="2:29" x14ac:dyDescent="0.2">
      <c r="B131" s="167">
        <v>122</v>
      </c>
      <c r="M131" s="259"/>
      <c r="Z131" s="338"/>
      <c r="AA131" s="209"/>
      <c r="AB131" s="209"/>
      <c r="AC131" s="338"/>
    </row>
    <row r="132" spans="2:29" x14ac:dyDescent="0.2">
      <c r="B132" s="167">
        <v>123</v>
      </c>
      <c r="M132" s="259"/>
      <c r="Z132" s="338"/>
      <c r="AA132" s="209"/>
      <c r="AB132" s="209"/>
      <c r="AC132" s="338"/>
    </row>
    <row r="133" spans="2:29" x14ac:dyDescent="0.2">
      <c r="B133" s="167">
        <v>124</v>
      </c>
      <c r="M133" s="259"/>
      <c r="Z133" s="338"/>
      <c r="AA133" s="209"/>
      <c r="AB133" s="209"/>
      <c r="AC133" s="338"/>
    </row>
    <row r="134" spans="2:29" x14ac:dyDescent="0.2">
      <c r="B134" s="167">
        <v>125</v>
      </c>
      <c r="M134" s="259"/>
      <c r="Z134" s="338"/>
      <c r="AA134" s="209"/>
      <c r="AB134" s="209"/>
      <c r="AC134" s="338"/>
    </row>
    <row r="135" spans="2:29" x14ac:dyDescent="0.2">
      <c r="B135" s="167">
        <v>126</v>
      </c>
      <c r="M135" s="259"/>
      <c r="Z135" s="338"/>
      <c r="AA135" s="209"/>
      <c r="AB135" s="209"/>
      <c r="AC135" s="338"/>
    </row>
    <row r="136" spans="2:29" x14ac:dyDescent="0.2">
      <c r="B136" s="167">
        <v>127</v>
      </c>
      <c r="M136" s="259"/>
      <c r="Z136" s="338"/>
      <c r="AA136" s="209"/>
      <c r="AB136" s="209"/>
      <c r="AC136" s="338"/>
    </row>
    <row r="137" spans="2:29" x14ac:dyDescent="0.2">
      <c r="B137" s="167">
        <v>128</v>
      </c>
      <c r="M137" s="259"/>
      <c r="Z137" s="338"/>
      <c r="AA137" s="209"/>
      <c r="AB137" s="209"/>
      <c r="AC137" s="338"/>
    </row>
    <row r="138" spans="2:29" x14ac:dyDescent="0.2">
      <c r="B138" s="167">
        <v>129</v>
      </c>
      <c r="M138" s="259"/>
      <c r="Z138" s="338"/>
      <c r="AA138" s="209"/>
      <c r="AB138" s="209"/>
      <c r="AC138" s="338"/>
    </row>
    <row r="139" spans="2:29" x14ac:dyDescent="0.2">
      <c r="B139" s="167">
        <v>130</v>
      </c>
      <c r="M139" s="259"/>
      <c r="Z139" s="338"/>
      <c r="AA139" s="209"/>
      <c r="AB139" s="209"/>
      <c r="AC139" s="338"/>
    </row>
    <row r="140" spans="2:29" x14ac:dyDescent="0.2">
      <c r="B140" s="167">
        <v>131</v>
      </c>
      <c r="M140" s="259"/>
      <c r="Z140" s="338"/>
      <c r="AA140" s="209"/>
      <c r="AB140" s="209"/>
      <c r="AC140" s="338"/>
    </row>
    <row r="141" spans="2:29" x14ac:dyDescent="0.2">
      <c r="B141" s="167">
        <v>132</v>
      </c>
      <c r="M141" s="259"/>
      <c r="Z141" s="338"/>
      <c r="AA141" s="209"/>
      <c r="AB141" s="209"/>
      <c r="AC141" s="338"/>
    </row>
    <row r="142" spans="2:29" x14ac:dyDescent="0.2">
      <c r="B142" s="167">
        <v>133</v>
      </c>
      <c r="M142" s="259"/>
      <c r="Z142" s="338"/>
      <c r="AA142" s="209"/>
      <c r="AB142" s="209"/>
      <c r="AC142" s="338"/>
    </row>
    <row r="143" spans="2:29" x14ac:dyDescent="0.2">
      <c r="B143" s="167">
        <v>134</v>
      </c>
      <c r="M143" s="259"/>
      <c r="Z143" s="338"/>
      <c r="AA143" s="209"/>
      <c r="AB143" s="209"/>
      <c r="AC143" s="338"/>
    </row>
    <row r="144" spans="2:29" x14ac:dyDescent="0.2">
      <c r="B144" s="167">
        <v>135</v>
      </c>
      <c r="M144" s="259"/>
      <c r="Z144" s="338"/>
      <c r="AA144" s="209"/>
      <c r="AB144" s="209"/>
      <c r="AC144" s="338"/>
    </row>
    <row r="145" spans="2:29" x14ac:dyDescent="0.2">
      <c r="B145" s="167">
        <v>136</v>
      </c>
      <c r="M145" s="259"/>
      <c r="Z145" s="338"/>
      <c r="AA145" s="209"/>
      <c r="AB145" s="209"/>
      <c r="AC145" s="338"/>
    </row>
    <row r="146" spans="2:29" x14ac:dyDescent="0.2">
      <c r="B146" s="167">
        <v>137</v>
      </c>
      <c r="M146" s="259"/>
      <c r="Z146" s="338"/>
      <c r="AA146" s="209"/>
      <c r="AB146" s="209"/>
      <c r="AC146" s="338"/>
    </row>
    <row r="147" spans="2:29" x14ac:dyDescent="0.2">
      <c r="B147" s="167">
        <v>138</v>
      </c>
      <c r="M147" s="259"/>
      <c r="Z147" s="338"/>
      <c r="AA147" s="209"/>
      <c r="AB147" s="209"/>
      <c r="AC147" s="338"/>
    </row>
    <row r="148" spans="2:29" x14ac:dyDescent="0.2">
      <c r="B148" s="167">
        <v>139</v>
      </c>
      <c r="M148" s="259"/>
      <c r="Z148" s="338"/>
      <c r="AA148" s="209"/>
      <c r="AB148" s="209"/>
      <c r="AC148" s="338"/>
    </row>
    <row r="149" spans="2:29" x14ac:dyDescent="0.2">
      <c r="B149" s="167">
        <v>140</v>
      </c>
      <c r="M149" s="259"/>
      <c r="Z149" s="338"/>
      <c r="AA149" s="209"/>
      <c r="AB149" s="209"/>
      <c r="AC149" s="338"/>
    </row>
    <row r="150" spans="2:29" x14ac:dyDescent="0.2">
      <c r="B150" s="167">
        <v>141</v>
      </c>
      <c r="M150" s="259"/>
      <c r="Z150" s="338"/>
      <c r="AA150" s="209"/>
      <c r="AB150" s="209"/>
      <c r="AC150" s="338"/>
    </row>
    <row r="151" spans="2:29" x14ac:dyDescent="0.2">
      <c r="B151" s="167">
        <v>142</v>
      </c>
      <c r="M151" s="259"/>
      <c r="Z151" s="338"/>
      <c r="AA151" s="209"/>
      <c r="AB151" s="209"/>
      <c r="AC151" s="338"/>
    </row>
    <row r="152" spans="2:29" x14ac:dyDescent="0.2">
      <c r="B152" s="167">
        <v>143</v>
      </c>
      <c r="M152" s="259"/>
      <c r="Z152" s="338"/>
      <c r="AA152" s="209"/>
      <c r="AB152" s="209"/>
      <c r="AC152" s="338"/>
    </row>
    <row r="153" spans="2:29" x14ac:dyDescent="0.2">
      <c r="B153" s="167">
        <v>144</v>
      </c>
      <c r="M153" s="259"/>
      <c r="Z153" s="338"/>
      <c r="AA153" s="209"/>
      <c r="AB153" s="209"/>
      <c r="AC153" s="338"/>
    </row>
    <row r="154" spans="2:29" x14ac:dyDescent="0.2">
      <c r="B154" s="167">
        <v>145</v>
      </c>
      <c r="M154" s="259"/>
      <c r="Z154" s="338"/>
      <c r="AA154" s="209"/>
      <c r="AB154" s="209"/>
      <c r="AC154" s="338"/>
    </row>
    <row r="155" spans="2:29" x14ac:dyDescent="0.2">
      <c r="B155" s="167">
        <v>146</v>
      </c>
      <c r="M155" s="259"/>
      <c r="Z155" s="338"/>
      <c r="AA155" s="209"/>
      <c r="AB155" s="209"/>
      <c r="AC155" s="338"/>
    </row>
    <row r="156" spans="2:29" x14ac:dyDescent="0.2">
      <c r="B156" s="167">
        <v>147</v>
      </c>
      <c r="M156" s="259"/>
      <c r="Z156" s="338"/>
      <c r="AA156" s="209"/>
      <c r="AB156" s="209"/>
      <c r="AC156" s="338"/>
    </row>
    <row r="157" spans="2:29" x14ac:dyDescent="0.2">
      <c r="B157" s="167">
        <v>148</v>
      </c>
      <c r="M157" s="259"/>
      <c r="Z157" s="338"/>
      <c r="AA157" s="209"/>
      <c r="AB157" s="209"/>
      <c r="AC157" s="338"/>
    </row>
    <row r="158" spans="2:29" x14ac:dyDescent="0.2">
      <c r="B158" s="167">
        <v>149</v>
      </c>
      <c r="M158" s="259"/>
      <c r="Z158" s="338"/>
      <c r="AA158" s="209"/>
      <c r="AB158" s="209"/>
      <c r="AC158" s="338"/>
    </row>
    <row r="159" spans="2:29" x14ac:dyDescent="0.2">
      <c r="B159" s="167">
        <v>150</v>
      </c>
      <c r="M159" s="259"/>
      <c r="Z159" s="338"/>
      <c r="AA159" s="209"/>
      <c r="AB159" s="209"/>
      <c r="AC159" s="338"/>
    </row>
    <row r="160" spans="2:29" x14ac:dyDescent="0.2">
      <c r="B160" s="167">
        <v>151</v>
      </c>
      <c r="M160" s="259"/>
      <c r="Z160" s="338"/>
      <c r="AA160" s="209"/>
      <c r="AB160" s="209"/>
      <c r="AC160" s="338"/>
    </row>
    <row r="161" spans="2:29" x14ac:dyDescent="0.2">
      <c r="B161" s="167">
        <v>152</v>
      </c>
      <c r="M161" s="259"/>
      <c r="Z161" s="338"/>
      <c r="AA161" s="209"/>
      <c r="AB161" s="209"/>
      <c r="AC161" s="338"/>
    </row>
    <row r="162" spans="2:29" x14ac:dyDescent="0.2">
      <c r="B162" s="167">
        <v>153</v>
      </c>
      <c r="M162" s="259"/>
      <c r="Z162" s="338"/>
      <c r="AA162" s="209"/>
      <c r="AB162" s="209"/>
      <c r="AC162" s="338"/>
    </row>
    <row r="163" spans="2:29" x14ac:dyDescent="0.2">
      <c r="B163" s="167">
        <v>154</v>
      </c>
      <c r="M163" s="259"/>
      <c r="Z163" s="338"/>
      <c r="AA163" s="209"/>
      <c r="AB163" s="209"/>
      <c r="AC163" s="338"/>
    </row>
    <row r="164" spans="2:29" x14ac:dyDescent="0.2">
      <c r="B164" s="167">
        <v>155</v>
      </c>
      <c r="M164" s="259"/>
      <c r="Z164" s="338"/>
      <c r="AA164" s="209"/>
      <c r="AB164" s="209"/>
      <c r="AC164" s="338"/>
    </row>
    <row r="165" spans="2:29" x14ac:dyDescent="0.2">
      <c r="B165" s="167">
        <v>156</v>
      </c>
      <c r="M165" s="259"/>
      <c r="Z165" s="338"/>
      <c r="AA165" s="209"/>
      <c r="AB165" s="209"/>
      <c r="AC165" s="338"/>
    </row>
    <row r="166" spans="2:29" x14ac:dyDescent="0.2">
      <c r="B166" s="167">
        <v>157</v>
      </c>
      <c r="M166" s="259"/>
      <c r="Z166" s="338"/>
      <c r="AA166" s="209"/>
      <c r="AB166" s="209"/>
      <c r="AC166" s="338"/>
    </row>
    <row r="167" spans="2:29" x14ac:dyDescent="0.2">
      <c r="B167" s="167">
        <v>158</v>
      </c>
      <c r="M167" s="259"/>
      <c r="Z167" s="338"/>
      <c r="AA167" s="209"/>
      <c r="AB167" s="209"/>
      <c r="AC167" s="338"/>
    </row>
    <row r="168" spans="2:29" x14ac:dyDescent="0.2">
      <c r="B168" s="167">
        <v>159</v>
      </c>
      <c r="M168" s="259"/>
      <c r="Z168" s="338"/>
      <c r="AA168" s="209"/>
      <c r="AB168" s="209"/>
      <c r="AC168" s="338"/>
    </row>
    <row r="169" spans="2:29" x14ac:dyDescent="0.2">
      <c r="B169" s="167">
        <v>160</v>
      </c>
      <c r="M169" s="259"/>
      <c r="Z169" s="338"/>
      <c r="AA169" s="209"/>
      <c r="AB169" s="209"/>
      <c r="AC169" s="338"/>
    </row>
    <row r="170" spans="2:29" x14ac:dyDescent="0.2">
      <c r="B170" s="167">
        <v>161</v>
      </c>
      <c r="M170" s="259"/>
      <c r="Z170" s="338"/>
      <c r="AA170" s="209"/>
      <c r="AB170" s="209"/>
      <c r="AC170" s="338"/>
    </row>
    <row r="171" spans="2:29" x14ac:dyDescent="0.2">
      <c r="B171" s="167">
        <v>162</v>
      </c>
      <c r="M171" s="259"/>
      <c r="Z171" s="338"/>
      <c r="AA171" s="209"/>
      <c r="AB171" s="209"/>
      <c r="AC171" s="338"/>
    </row>
    <row r="172" spans="2:29" x14ac:dyDescent="0.2">
      <c r="B172" s="167">
        <v>163</v>
      </c>
      <c r="M172" s="259"/>
      <c r="Z172" s="338"/>
      <c r="AA172" s="209"/>
      <c r="AB172" s="209"/>
      <c r="AC172" s="338"/>
    </row>
    <row r="173" spans="2:29" x14ac:dyDescent="0.2">
      <c r="B173" s="167">
        <v>164</v>
      </c>
      <c r="M173" s="259"/>
      <c r="Z173" s="338"/>
      <c r="AA173" s="209"/>
      <c r="AB173" s="209"/>
      <c r="AC173" s="338"/>
    </row>
    <row r="174" spans="2:29" x14ac:dyDescent="0.2">
      <c r="B174" s="167">
        <v>165</v>
      </c>
      <c r="M174" s="259"/>
      <c r="Z174" s="338"/>
      <c r="AA174" s="209"/>
      <c r="AB174" s="209"/>
      <c r="AC174" s="338"/>
    </row>
    <row r="175" spans="2:29" x14ac:dyDescent="0.2">
      <c r="B175" s="167">
        <v>166</v>
      </c>
      <c r="M175" s="259"/>
      <c r="Z175" s="338"/>
      <c r="AA175" s="209"/>
      <c r="AB175" s="209"/>
      <c r="AC175" s="338"/>
    </row>
    <row r="176" spans="2:29" x14ac:dyDescent="0.2">
      <c r="B176" s="167">
        <v>167</v>
      </c>
      <c r="M176" s="259"/>
      <c r="Z176" s="338"/>
      <c r="AA176" s="209"/>
      <c r="AB176" s="209"/>
      <c r="AC176" s="338"/>
    </row>
    <row r="177" spans="2:29" x14ac:dyDescent="0.2">
      <c r="B177" s="167">
        <v>168</v>
      </c>
      <c r="M177" s="259"/>
      <c r="Z177" s="338"/>
      <c r="AA177" s="209"/>
      <c r="AB177" s="209"/>
      <c r="AC177" s="338"/>
    </row>
    <row r="178" spans="2:29" x14ac:dyDescent="0.2">
      <c r="B178" s="167">
        <v>169</v>
      </c>
      <c r="M178" s="259"/>
      <c r="Z178" s="338"/>
      <c r="AA178" s="209"/>
      <c r="AB178" s="209"/>
      <c r="AC178" s="338"/>
    </row>
    <row r="179" spans="2:29" x14ac:dyDescent="0.2">
      <c r="B179" s="167">
        <v>170</v>
      </c>
      <c r="M179" s="259"/>
      <c r="Z179" s="338"/>
      <c r="AA179" s="209"/>
      <c r="AB179" s="209"/>
      <c r="AC179" s="338"/>
    </row>
    <row r="180" spans="2:29" x14ac:dyDescent="0.2">
      <c r="B180" s="167">
        <v>171</v>
      </c>
      <c r="M180" s="259"/>
      <c r="Z180" s="338"/>
      <c r="AA180" s="209"/>
      <c r="AB180" s="209"/>
      <c r="AC180" s="338"/>
    </row>
    <row r="181" spans="2:29" x14ac:dyDescent="0.2">
      <c r="B181" s="167">
        <v>172</v>
      </c>
      <c r="M181" s="259"/>
      <c r="Z181" s="338"/>
      <c r="AA181" s="209"/>
      <c r="AB181" s="209"/>
      <c r="AC181" s="338"/>
    </row>
    <row r="182" spans="2:29" x14ac:dyDescent="0.2">
      <c r="B182" s="167">
        <v>173</v>
      </c>
      <c r="M182" s="259"/>
      <c r="Z182" s="338"/>
      <c r="AA182" s="209"/>
      <c r="AB182" s="209"/>
      <c r="AC182" s="338"/>
    </row>
    <row r="183" spans="2:29" x14ac:dyDescent="0.2">
      <c r="B183" s="167">
        <v>174</v>
      </c>
      <c r="M183" s="259"/>
      <c r="Z183" s="338"/>
      <c r="AA183" s="209"/>
      <c r="AB183" s="209"/>
      <c r="AC183" s="338"/>
    </row>
    <row r="184" spans="2:29" x14ac:dyDescent="0.2">
      <c r="B184" s="167">
        <v>175</v>
      </c>
      <c r="M184" s="259"/>
      <c r="Z184" s="338"/>
      <c r="AA184" s="209"/>
      <c r="AB184" s="209"/>
      <c r="AC184" s="338"/>
    </row>
    <row r="185" spans="2:29" x14ac:dyDescent="0.2">
      <c r="B185" s="167">
        <v>176</v>
      </c>
      <c r="M185" s="259"/>
      <c r="Z185" s="338"/>
      <c r="AA185" s="209"/>
      <c r="AB185" s="209"/>
      <c r="AC185" s="338"/>
    </row>
    <row r="186" spans="2:29" x14ac:dyDescent="0.2">
      <c r="B186" s="167">
        <v>177</v>
      </c>
      <c r="M186" s="259"/>
      <c r="Z186" s="338"/>
      <c r="AA186" s="209"/>
      <c r="AB186" s="209"/>
      <c r="AC186" s="338"/>
    </row>
    <row r="187" spans="2:29" x14ac:dyDescent="0.2">
      <c r="B187" s="167">
        <v>178</v>
      </c>
      <c r="M187" s="259"/>
      <c r="Z187" s="338"/>
      <c r="AA187" s="209"/>
      <c r="AB187" s="209"/>
      <c r="AC187" s="338"/>
    </row>
    <row r="188" spans="2:29" x14ac:dyDescent="0.2">
      <c r="B188" s="167">
        <v>179</v>
      </c>
      <c r="M188" s="259"/>
      <c r="Z188" s="338"/>
      <c r="AA188" s="209"/>
      <c r="AB188" s="209"/>
      <c r="AC188" s="338"/>
    </row>
    <row r="189" spans="2:29" x14ac:dyDescent="0.2">
      <c r="B189" s="167">
        <v>180</v>
      </c>
      <c r="M189" s="259"/>
      <c r="Z189" s="338"/>
      <c r="AA189" s="209"/>
      <c r="AB189" s="209"/>
      <c r="AC189" s="338"/>
    </row>
    <row r="190" spans="2:29" x14ac:dyDescent="0.2">
      <c r="B190" s="167">
        <v>181</v>
      </c>
      <c r="M190" s="259"/>
      <c r="Z190" s="338"/>
      <c r="AA190" s="209"/>
      <c r="AB190" s="209"/>
      <c r="AC190" s="338"/>
    </row>
    <row r="191" spans="2:29" x14ac:dyDescent="0.2">
      <c r="B191" s="167">
        <v>182</v>
      </c>
      <c r="M191" s="259"/>
      <c r="Z191" s="338"/>
      <c r="AA191" s="209"/>
      <c r="AB191" s="209"/>
      <c r="AC191" s="338"/>
    </row>
    <row r="192" spans="2:29" x14ac:dyDescent="0.2">
      <c r="B192" s="167">
        <v>183</v>
      </c>
      <c r="M192" s="259"/>
      <c r="Z192" s="338"/>
      <c r="AA192" s="209"/>
      <c r="AB192" s="209"/>
      <c r="AC192" s="338"/>
    </row>
    <row r="193" spans="2:29" x14ac:dyDescent="0.2">
      <c r="B193" s="167">
        <v>184</v>
      </c>
      <c r="M193" s="259"/>
      <c r="Z193" s="338"/>
      <c r="AA193" s="209"/>
      <c r="AB193" s="209"/>
      <c r="AC193" s="338"/>
    </row>
    <row r="194" spans="2:29" x14ac:dyDescent="0.2">
      <c r="B194" s="167">
        <v>185</v>
      </c>
      <c r="M194" s="259"/>
      <c r="Z194" s="338"/>
      <c r="AA194" s="209"/>
      <c r="AB194" s="209"/>
      <c r="AC194" s="338"/>
    </row>
    <row r="195" spans="2:29" x14ac:dyDescent="0.2">
      <c r="B195" s="167">
        <v>186</v>
      </c>
      <c r="M195" s="259"/>
      <c r="Z195" s="338"/>
      <c r="AA195" s="209"/>
      <c r="AB195" s="209"/>
      <c r="AC195" s="338"/>
    </row>
    <row r="196" spans="2:29" x14ac:dyDescent="0.2">
      <c r="B196" s="167">
        <v>187</v>
      </c>
      <c r="M196" s="259"/>
      <c r="Z196" s="338"/>
      <c r="AA196" s="209"/>
      <c r="AB196" s="209"/>
      <c r="AC196" s="338"/>
    </row>
    <row r="197" spans="2:29" x14ac:dyDescent="0.2">
      <c r="B197" s="167">
        <v>188</v>
      </c>
      <c r="M197" s="259"/>
      <c r="Z197" s="338"/>
      <c r="AA197" s="209"/>
      <c r="AB197" s="209"/>
      <c r="AC197" s="338"/>
    </row>
    <row r="198" spans="2:29" x14ac:dyDescent="0.2">
      <c r="B198" s="167">
        <v>189</v>
      </c>
      <c r="M198" s="259"/>
      <c r="Z198" s="338"/>
      <c r="AA198" s="209"/>
      <c r="AB198" s="209"/>
      <c r="AC198" s="338"/>
    </row>
    <row r="199" spans="2:29" x14ac:dyDescent="0.2">
      <c r="B199" s="167">
        <v>190</v>
      </c>
      <c r="M199" s="259"/>
      <c r="Z199" s="338"/>
      <c r="AA199" s="209"/>
      <c r="AB199" s="209"/>
      <c r="AC199" s="338"/>
    </row>
    <row r="200" spans="2:29" x14ac:dyDescent="0.2">
      <c r="B200" s="167">
        <v>191</v>
      </c>
      <c r="M200" s="259"/>
      <c r="Z200" s="338"/>
      <c r="AA200" s="209"/>
      <c r="AB200" s="209"/>
      <c r="AC200" s="338"/>
    </row>
    <row r="201" spans="2:29" x14ac:dyDescent="0.2">
      <c r="B201" s="167">
        <v>192</v>
      </c>
      <c r="M201" s="259"/>
      <c r="Z201" s="338"/>
      <c r="AA201" s="209"/>
      <c r="AB201" s="209"/>
      <c r="AC201" s="338"/>
    </row>
    <row r="202" spans="2:29" x14ac:dyDescent="0.2">
      <c r="B202" s="167">
        <v>193</v>
      </c>
      <c r="M202" s="259"/>
      <c r="Z202" s="338"/>
      <c r="AA202" s="209"/>
      <c r="AB202" s="209"/>
      <c r="AC202" s="338"/>
    </row>
    <row r="203" spans="2:29" x14ac:dyDescent="0.2">
      <c r="B203" s="167">
        <v>194</v>
      </c>
      <c r="M203" s="259"/>
      <c r="Z203" s="338"/>
      <c r="AA203" s="209"/>
      <c r="AB203" s="209"/>
      <c r="AC203" s="338"/>
    </row>
    <row r="204" spans="2:29" x14ac:dyDescent="0.2">
      <c r="B204" s="167">
        <v>195</v>
      </c>
      <c r="M204" s="259"/>
      <c r="Z204" s="338"/>
      <c r="AA204" s="209"/>
      <c r="AB204" s="209"/>
      <c r="AC204" s="338"/>
    </row>
    <row r="205" spans="2:29" x14ac:dyDescent="0.2">
      <c r="B205" s="167">
        <v>196</v>
      </c>
      <c r="M205" s="259"/>
      <c r="Z205" s="338"/>
      <c r="AA205" s="209"/>
      <c r="AB205" s="209"/>
      <c r="AC205" s="338"/>
    </row>
    <row r="206" spans="2:29" x14ac:dyDescent="0.2">
      <c r="B206" s="167">
        <v>197</v>
      </c>
      <c r="M206" s="259"/>
      <c r="Z206" s="338"/>
      <c r="AA206" s="209"/>
      <c r="AB206" s="209"/>
      <c r="AC206" s="338"/>
    </row>
    <row r="207" spans="2:29" x14ac:dyDescent="0.2">
      <c r="B207" s="167">
        <v>198</v>
      </c>
      <c r="M207" s="259"/>
      <c r="Z207" s="338"/>
      <c r="AA207" s="209"/>
      <c r="AB207" s="209"/>
      <c r="AC207" s="338"/>
    </row>
    <row r="208" spans="2:29" x14ac:dyDescent="0.2">
      <c r="B208" s="167">
        <v>199</v>
      </c>
      <c r="M208" s="259"/>
      <c r="Z208" s="338"/>
      <c r="AA208" s="209"/>
      <c r="AB208" s="209"/>
      <c r="AC208" s="338"/>
    </row>
    <row r="209" spans="2:29" x14ac:dyDescent="0.2">
      <c r="B209" s="167">
        <v>200</v>
      </c>
      <c r="M209" s="259"/>
      <c r="Z209" s="338"/>
      <c r="AA209" s="209"/>
      <c r="AB209" s="209"/>
      <c r="AC209" s="338"/>
    </row>
    <row r="210" spans="2:29" x14ac:dyDescent="0.2">
      <c r="B210" s="167">
        <v>201</v>
      </c>
      <c r="M210" s="259"/>
      <c r="Z210" s="338"/>
      <c r="AA210" s="209"/>
      <c r="AB210" s="209"/>
      <c r="AC210" s="338"/>
    </row>
    <row r="211" spans="2:29" x14ac:dyDescent="0.2">
      <c r="B211" s="167">
        <v>202</v>
      </c>
      <c r="M211" s="259"/>
      <c r="Z211" s="338"/>
      <c r="AA211" s="209"/>
      <c r="AB211" s="209"/>
      <c r="AC211" s="338"/>
    </row>
    <row r="212" spans="2:29" x14ac:dyDescent="0.2">
      <c r="B212" s="167">
        <v>203</v>
      </c>
      <c r="M212" s="259"/>
      <c r="Z212" s="338"/>
      <c r="AA212" s="209"/>
      <c r="AB212" s="209"/>
      <c r="AC212" s="338"/>
    </row>
    <row r="213" spans="2:29" x14ac:dyDescent="0.2">
      <c r="B213" s="167">
        <v>204</v>
      </c>
      <c r="M213" s="259"/>
      <c r="Z213" s="338"/>
      <c r="AA213" s="209"/>
      <c r="AB213" s="209"/>
      <c r="AC213" s="338"/>
    </row>
    <row r="214" spans="2:29" x14ac:dyDescent="0.2">
      <c r="B214" s="167">
        <v>205</v>
      </c>
      <c r="M214" s="259"/>
      <c r="Z214" s="338"/>
      <c r="AA214" s="209"/>
      <c r="AB214" s="209"/>
      <c r="AC214" s="338"/>
    </row>
    <row r="215" spans="2:29" x14ac:dyDescent="0.2">
      <c r="B215" s="167">
        <v>206</v>
      </c>
      <c r="M215" s="259"/>
      <c r="Z215" s="338"/>
      <c r="AA215" s="209"/>
      <c r="AB215" s="209"/>
      <c r="AC215" s="338"/>
    </row>
    <row r="216" spans="2:29" x14ac:dyDescent="0.2">
      <c r="B216" s="167">
        <v>207</v>
      </c>
      <c r="M216" s="259"/>
      <c r="Z216" s="338"/>
      <c r="AA216" s="209"/>
      <c r="AB216" s="209"/>
      <c r="AC216" s="338"/>
    </row>
    <row r="217" spans="2:29" x14ac:dyDescent="0.2">
      <c r="B217" s="167">
        <v>208</v>
      </c>
      <c r="M217" s="259"/>
      <c r="Z217" s="338"/>
      <c r="AA217" s="209"/>
      <c r="AB217" s="209"/>
      <c r="AC217" s="338"/>
    </row>
    <row r="218" spans="2:29" x14ac:dyDescent="0.2">
      <c r="B218" s="167">
        <v>209</v>
      </c>
      <c r="M218" s="259"/>
      <c r="Z218" s="338"/>
      <c r="AA218" s="209"/>
      <c r="AB218" s="209"/>
      <c r="AC218" s="338"/>
    </row>
    <row r="219" spans="2:29" x14ac:dyDescent="0.2">
      <c r="B219" s="167">
        <v>210</v>
      </c>
      <c r="M219" s="259"/>
      <c r="Z219" s="338"/>
      <c r="AA219" s="209"/>
      <c r="AB219" s="209"/>
      <c r="AC219" s="338"/>
    </row>
    <row r="220" spans="2:29" x14ac:dyDescent="0.2">
      <c r="B220" s="167">
        <v>211</v>
      </c>
      <c r="M220" s="259"/>
      <c r="Z220" s="338"/>
      <c r="AA220" s="209"/>
      <c r="AB220" s="209"/>
      <c r="AC220" s="338"/>
    </row>
    <row r="221" spans="2:29" x14ac:dyDescent="0.2">
      <c r="B221" s="167">
        <v>212</v>
      </c>
      <c r="M221" s="259"/>
      <c r="Z221" s="338"/>
      <c r="AA221" s="209"/>
      <c r="AB221" s="209"/>
      <c r="AC221" s="338"/>
    </row>
    <row r="222" spans="2:29" x14ac:dyDescent="0.2">
      <c r="B222" s="167">
        <v>213</v>
      </c>
      <c r="M222" s="259"/>
      <c r="Z222" s="338"/>
      <c r="AA222" s="209"/>
      <c r="AB222" s="209"/>
      <c r="AC222" s="338"/>
    </row>
    <row r="223" spans="2:29" x14ac:dyDescent="0.2">
      <c r="B223" s="167">
        <v>214</v>
      </c>
      <c r="M223" s="259"/>
      <c r="Z223" s="338"/>
      <c r="AA223" s="209"/>
      <c r="AB223" s="209"/>
      <c r="AC223" s="338"/>
    </row>
    <row r="224" spans="2:29" x14ac:dyDescent="0.2">
      <c r="B224" s="167">
        <v>215</v>
      </c>
      <c r="M224" s="259"/>
      <c r="Z224" s="338"/>
      <c r="AA224" s="209"/>
      <c r="AB224" s="209"/>
      <c r="AC224" s="338"/>
    </row>
    <row r="225" spans="2:29" x14ac:dyDescent="0.2">
      <c r="B225" s="167">
        <v>216</v>
      </c>
      <c r="M225" s="259"/>
      <c r="Z225" s="338"/>
      <c r="AA225" s="209"/>
      <c r="AB225" s="209"/>
      <c r="AC225" s="338"/>
    </row>
    <row r="226" spans="2:29" x14ac:dyDescent="0.2">
      <c r="B226" s="167">
        <v>217</v>
      </c>
      <c r="M226" s="259"/>
      <c r="Z226" s="338"/>
      <c r="AA226" s="209"/>
      <c r="AB226" s="209"/>
      <c r="AC226" s="338"/>
    </row>
    <row r="227" spans="2:29" x14ac:dyDescent="0.2">
      <c r="B227" s="167">
        <v>218</v>
      </c>
      <c r="M227" s="259"/>
      <c r="Z227" s="338"/>
      <c r="AA227" s="209"/>
      <c r="AB227" s="209"/>
      <c r="AC227" s="338"/>
    </row>
    <row r="228" spans="2:29" x14ac:dyDescent="0.2">
      <c r="B228" s="167">
        <v>219</v>
      </c>
      <c r="M228" s="259"/>
      <c r="Z228" s="338"/>
      <c r="AA228" s="209"/>
      <c r="AB228" s="209"/>
      <c r="AC228" s="338"/>
    </row>
    <row r="229" spans="2:29" x14ac:dyDescent="0.2">
      <c r="B229" s="167">
        <v>220</v>
      </c>
      <c r="M229" s="259"/>
      <c r="Z229" s="338"/>
      <c r="AA229" s="209"/>
      <c r="AB229" s="209"/>
      <c r="AC229" s="338"/>
    </row>
    <row r="230" spans="2:29" x14ac:dyDescent="0.2">
      <c r="B230" s="167">
        <v>221</v>
      </c>
      <c r="M230" s="259"/>
      <c r="Z230" s="338"/>
      <c r="AA230" s="209"/>
      <c r="AB230" s="209"/>
      <c r="AC230" s="338"/>
    </row>
    <row r="231" spans="2:29" x14ac:dyDescent="0.2">
      <c r="B231" s="167">
        <v>222</v>
      </c>
      <c r="M231" s="259"/>
      <c r="Z231" s="338"/>
      <c r="AA231" s="209"/>
      <c r="AB231" s="209"/>
      <c r="AC231" s="338"/>
    </row>
    <row r="232" spans="2:29" x14ac:dyDescent="0.2">
      <c r="B232" s="167">
        <v>223</v>
      </c>
      <c r="M232" s="259"/>
      <c r="Z232" s="338"/>
      <c r="AA232" s="209"/>
      <c r="AB232" s="209"/>
      <c r="AC232" s="338"/>
    </row>
    <row r="233" spans="2:29" x14ac:dyDescent="0.2">
      <c r="B233" s="167">
        <v>224</v>
      </c>
      <c r="M233" s="259"/>
      <c r="Z233" s="338"/>
      <c r="AA233" s="209"/>
      <c r="AB233" s="209"/>
      <c r="AC233" s="338"/>
    </row>
    <row r="234" spans="2:29" x14ac:dyDescent="0.2">
      <c r="B234" s="167">
        <v>225</v>
      </c>
      <c r="M234" s="259"/>
      <c r="Z234" s="338"/>
      <c r="AA234" s="209"/>
      <c r="AB234" s="209"/>
      <c r="AC234" s="338"/>
    </row>
    <row r="235" spans="2:29" x14ac:dyDescent="0.2">
      <c r="B235" s="167">
        <v>226</v>
      </c>
      <c r="M235" s="259"/>
      <c r="Z235" s="338"/>
      <c r="AA235" s="209"/>
      <c r="AB235" s="209"/>
      <c r="AC235" s="338"/>
    </row>
    <row r="236" spans="2:29" x14ac:dyDescent="0.2">
      <c r="B236" s="167">
        <v>227</v>
      </c>
      <c r="M236" s="259"/>
      <c r="Z236" s="338"/>
      <c r="AA236" s="209"/>
      <c r="AB236" s="209"/>
      <c r="AC236" s="338"/>
    </row>
    <row r="237" spans="2:29" x14ac:dyDescent="0.2">
      <c r="B237" s="167">
        <v>228</v>
      </c>
      <c r="M237" s="259"/>
      <c r="Z237" s="338"/>
      <c r="AA237" s="209"/>
      <c r="AB237" s="209"/>
      <c r="AC237" s="338"/>
    </row>
    <row r="238" spans="2:29" x14ac:dyDescent="0.2">
      <c r="B238" s="167">
        <v>229</v>
      </c>
      <c r="M238" s="259"/>
      <c r="Z238" s="338"/>
      <c r="AA238" s="209"/>
      <c r="AB238" s="209"/>
      <c r="AC238" s="338"/>
    </row>
    <row r="239" spans="2:29" x14ac:dyDescent="0.2">
      <c r="B239" s="167">
        <v>230</v>
      </c>
      <c r="M239" s="259"/>
      <c r="Z239" s="338"/>
      <c r="AA239" s="209"/>
      <c r="AB239" s="209"/>
      <c r="AC239" s="338"/>
    </row>
    <row r="240" spans="2:29" x14ac:dyDescent="0.2">
      <c r="B240" s="167">
        <v>231</v>
      </c>
      <c r="M240" s="259"/>
      <c r="Z240" s="338"/>
      <c r="AA240" s="209"/>
      <c r="AB240" s="209"/>
      <c r="AC240" s="338"/>
    </row>
    <row r="241" spans="2:29" x14ac:dyDescent="0.2">
      <c r="B241" s="167">
        <v>232</v>
      </c>
      <c r="M241" s="259"/>
      <c r="Z241" s="338"/>
      <c r="AA241" s="209"/>
      <c r="AB241" s="209"/>
      <c r="AC241" s="338"/>
    </row>
    <row r="242" spans="2:29" x14ac:dyDescent="0.2">
      <c r="B242" s="167">
        <v>233</v>
      </c>
      <c r="M242" s="259"/>
      <c r="Z242" s="338"/>
      <c r="AA242" s="209"/>
      <c r="AB242" s="209"/>
      <c r="AC242" s="338"/>
    </row>
    <row r="243" spans="2:29" x14ac:dyDescent="0.2">
      <c r="B243" s="167">
        <v>234</v>
      </c>
      <c r="M243" s="259"/>
      <c r="Z243" s="338"/>
      <c r="AA243" s="209"/>
      <c r="AB243" s="209"/>
      <c r="AC243" s="338"/>
    </row>
    <row r="244" spans="2:29" x14ac:dyDescent="0.2">
      <c r="B244" s="167">
        <v>235</v>
      </c>
      <c r="M244" s="259"/>
      <c r="Z244" s="338"/>
      <c r="AA244" s="209"/>
      <c r="AB244" s="209"/>
      <c r="AC244" s="338"/>
    </row>
    <row r="245" spans="2:29" x14ac:dyDescent="0.2">
      <c r="B245" s="167">
        <v>236</v>
      </c>
      <c r="M245" s="259"/>
      <c r="Z245" s="338"/>
      <c r="AA245" s="209"/>
      <c r="AB245" s="209"/>
      <c r="AC245" s="338"/>
    </row>
    <row r="246" spans="2:29" x14ac:dyDescent="0.2">
      <c r="B246" s="167">
        <v>237</v>
      </c>
      <c r="M246" s="259"/>
      <c r="Z246" s="338"/>
      <c r="AA246" s="209"/>
      <c r="AB246" s="209"/>
      <c r="AC246" s="338"/>
    </row>
    <row r="247" spans="2:29" x14ac:dyDescent="0.2">
      <c r="B247" s="167">
        <v>238</v>
      </c>
      <c r="M247" s="259"/>
      <c r="Z247" s="338"/>
      <c r="AA247" s="209"/>
      <c r="AB247" s="209"/>
      <c r="AC247" s="338"/>
    </row>
    <row r="248" spans="2:29" x14ac:dyDescent="0.2">
      <c r="B248" s="167">
        <v>239</v>
      </c>
      <c r="M248" s="259"/>
      <c r="Z248" s="338"/>
      <c r="AA248" s="209"/>
      <c r="AB248" s="209"/>
      <c r="AC248" s="338"/>
    </row>
    <row r="249" spans="2:29" x14ac:dyDescent="0.2">
      <c r="B249" s="167">
        <v>240</v>
      </c>
      <c r="M249" s="259"/>
      <c r="Z249" s="338"/>
      <c r="AA249" s="209"/>
      <c r="AB249" s="209"/>
      <c r="AC249" s="338"/>
    </row>
    <row r="250" spans="2:29" x14ac:dyDescent="0.2">
      <c r="B250" s="167">
        <v>241</v>
      </c>
      <c r="M250" s="259"/>
      <c r="Z250" s="338"/>
      <c r="AA250" s="209"/>
      <c r="AB250" s="209"/>
      <c r="AC250" s="338"/>
    </row>
    <row r="251" spans="2:29" x14ac:dyDescent="0.2">
      <c r="B251" s="167">
        <v>242</v>
      </c>
      <c r="M251" s="259"/>
      <c r="Z251" s="338"/>
      <c r="AA251" s="209"/>
      <c r="AB251" s="209"/>
      <c r="AC251" s="338"/>
    </row>
    <row r="252" spans="2:29" x14ac:dyDescent="0.2">
      <c r="B252" s="167">
        <v>243</v>
      </c>
      <c r="M252" s="259"/>
      <c r="Z252" s="338"/>
      <c r="AA252" s="209"/>
      <c r="AB252" s="209"/>
      <c r="AC252" s="338"/>
    </row>
    <row r="253" spans="2:29" x14ac:dyDescent="0.2">
      <c r="B253" s="167">
        <v>244</v>
      </c>
      <c r="M253" s="259"/>
      <c r="Z253" s="338"/>
      <c r="AA253" s="209"/>
      <c r="AB253" s="209"/>
      <c r="AC253" s="338"/>
    </row>
    <row r="254" spans="2:29" x14ac:dyDescent="0.2">
      <c r="B254" s="167">
        <v>245</v>
      </c>
      <c r="M254" s="259"/>
      <c r="Z254" s="338"/>
      <c r="AA254" s="209"/>
      <c r="AB254" s="209"/>
      <c r="AC254" s="338"/>
    </row>
    <row r="255" spans="2:29" x14ac:dyDescent="0.2">
      <c r="B255" s="167">
        <v>246</v>
      </c>
      <c r="M255" s="259"/>
      <c r="Z255" s="338"/>
      <c r="AA255" s="209"/>
      <c r="AB255" s="209"/>
      <c r="AC255" s="338"/>
    </row>
    <row r="256" spans="2:29" x14ac:dyDescent="0.2">
      <c r="B256" s="167">
        <v>247</v>
      </c>
      <c r="M256" s="259"/>
      <c r="Z256" s="338"/>
      <c r="AA256" s="209"/>
      <c r="AB256" s="209"/>
      <c r="AC256" s="338"/>
    </row>
    <row r="257" spans="2:29" x14ac:dyDescent="0.2">
      <c r="B257" s="167">
        <v>248</v>
      </c>
      <c r="M257" s="259"/>
      <c r="Z257" s="338"/>
      <c r="AA257" s="209"/>
      <c r="AB257" s="209"/>
      <c r="AC257" s="338"/>
    </row>
    <row r="258" spans="2:29" x14ac:dyDescent="0.2">
      <c r="B258" s="167">
        <v>249</v>
      </c>
      <c r="M258" s="259"/>
      <c r="Z258" s="338"/>
      <c r="AA258" s="209"/>
      <c r="AB258" s="209"/>
      <c r="AC258" s="338"/>
    </row>
    <row r="259" spans="2:29" x14ac:dyDescent="0.2">
      <c r="B259" s="167">
        <v>250</v>
      </c>
      <c r="M259" s="259"/>
      <c r="Z259" s="338"/>
      <c r="AA259" s="209"/>
      <c r="AB259" s="209"/>
      <c r="AC259" s="338"/>
    </row>
    <row r="260" spans="2:29" x14ac:dyDescent="0.2">
      <c r="B260" s="167">
        <v>251</v>
      </c>
      <c r="M260" s="259"/>
      <c r="Z260" s="338"/>
      <c r="AA260" s="209"/>
      <c r="AB260" s="209"/>
      <c r="AC260" s="338"/>
    </row>
    <row r="261" spans="2:29" x14ac:dyDescent="0.2">
      <c r="B261" s="167">
        <v>252</v>
      </c>
      <c r="M261" s="259"/>
      <c r="Z261" s="338"/>
      <c r="AA261" s="209"/>
      <c r="AB261" s="209"/>
      <c r="AC261" s="338"/>
    </row>
    <row r="262" spans="2:29" x14ac:dyDescent="0.2">
      <c r="B262" s="167">
        <v>253</v>
      </c>
      <c r="M262" s="259"/>
      <c r="Z262" s="338"/>
      <c r="AA262" s="209"/>
      <c r="AB262" s="209"/>
      <c r="AC262" s="338"/>
    </row>
    <row r="263" spans="2:29" x14ac:dyDescent="0.2">
      <c r="B263" s="167">
        <v>254</v>
      </c>
      <c r="M263" s="259"/>
      <c r="Z263" s="338"/>
      <c r="AA263" s="209"/>
      <c r="AB263" s="209"/>
      <c r="AC263" s="338"/>
    </row>
    <row r="264" spans="2:29" x14ac:dyDescent="0.2">
      <c r="B264" s="167">
        <v>255</v>
      </c>
      <c r="M264" s="259"/>
      <c r="Z264" s="338"/>
      <c r="AA264" s="209"/>
      <c r="AB264" s="209"/>
      <c r="AC264" s="338"/>
    </row>
    <row r="265" spans="2:29" x14ac:dyDescent="0.2">
      <c r="B265" s="167">
        <v>256</v>
      </c>
      <c r="M265" s="259"/>
      <c r="Z265" s="338"/>
      <c r="AA265" s="209"/>
      <c r="AB265" s="209"/>
      <c r="AC265" s="338"/>
    </row>
    <row r="266" spans="2:29" x14ac:dyDescent="0.2">
      <c r="B266" s="167">
        <v>257</v>
      </c>
      <c r="M266" s="259"/>
      <c r="Z266" s="338"/>
      <c r="AA266" s="209"/>
      <c r="AB266" s="209"/>
      <c r="AC266" s="338"/>
    </row>
    <row r="267" spans="2:29" x14ac:dyDescent="0.2">
      <c r="B267" s="167">
        <v>258</v>
      </c>
      <c r="M267" s="259"/>
      <c r="Z267" s="338"/>
      <c r="AA267" s="209"/>
      <c r="AB267" s="209"/>
      <c r="AC267" s="338"/>
    </row>
    <row r="268" spans="2:29" x14ac:dyDescent="0.2">
      <c r="B268" s="167">
        <v>259</v>
      </c>
      <c r="M268" s="259"/>
      <c r="Z268" s="338"/>
      <c r="AA268" s="209"/>
      <c r="AB268" s="209"/>
      <c r="AC268" s="338"/>
    </row>
    <row r="269" spans="2:29" x14ac:dyDescent="0.2">
      <c r="B269" s="167" t="s">
        <v>1127</v>
      </c>
      <c r="M269" s="259"/>
      <c r="Z269" s="338"/>
      <c r="AA269" s="209"/>
      <c r="AB269" s="209"/>
      <c r="AC269" s="338"/>
    </row>
    <row r="270" spans="2:29" x14ac:dyDescent="0.2">
      <c r="B270" s="167" t="s">
        <v>1128</v>
      </c>
      <c r="M270" s="259"/>
      <c r="Z270" s="338"/>
      <c r="AA270" s="209"/>
      <c r="AB270" s="209"/>
      <c r="AC270" s="338"/>
    </row>
    <row r="271" spans="2:29" x14ac:dyDescent="0.2">
      <c r="B271" s="167" t="s">
        <v>1129</v>
      </c>
      <c r="M271" s="259"/>
      <c r="Z271" s="338"/>
      <c r="AA271" s="209"/>
      <c r="AB271" s="209"/>
      <c r="AC271" s="338"/>
    </row>
    <row r="272" spans="2:29" x14ac:dyDescent="0.2">
      <c r="M272" s="259"/>
      <c r="Z272" s="338"/>
      <c r="AA272" s="209"/>
      <c r="AB272" s="209"/>
      <c r="AC272" s="338"/>
    </row>
    <row r="273" spans="13:29" x14ac:dyDescent="0.2">
      <c r="M273" s="259"/>
      <c r="Z273" s="338"/>
      <c r="AA273" s="209"/>
      <c r="AB273" s="209"/>
      <c r="AC273" s="338"/>
    </row>
    <row r="274" spans="13:29" x14ac:dyDescent="0.2">
      <c r="M274" s="259"/>
      <c r="Z274" s="338"/>
      <c r="AA274" s="209"/>
      <c r="AB274" s="209"/>
      <c r="AC274" s="338"/>
    </row>
    <row r="275" spans="13:29" x14ac:dyDescent="0.2">
      <c r="M275" s="259"/>
      <c r="Z275" s="338"/>
      <c r="AA275" s="209"/>
      <c r="AB275" s="209"/>
      <c r="AC275" s="338"/>
    </row>
    <row r="276" spans="13:29" x14ac:dyDescent="0.2">
      <c r="M276" s="259"/>
      <c r="Z276" s="338"/>
      <c r="AA276" s="209"/>
      <c r="AB276" s="209"/>
      <c r="AC276" s="338"/>
    </row>
    <row r="277" spans="13:29" x14ac:dyDescent="0.2">
      <c r="M277" s="259"/>
      <c r="Z277" s="338"/>
      <c r="AA277" s="209"/>
      <c r="AB277" s="209"/>
      <c r="AC277" s="338"/>
    </row>
    <row r="278" spans="13:29" x14ac:dyDescent="0.2">
      <c r="M278" s="259"/>
      <c r="Z278" s="338"/>
      <c r="AA278" s="209"/>
      <c r="AB278" s="209"/>
      <c r="AC278" s="338"/>
    </row>
    <row r="279" spans="13:29" x14ac:dyDescent="0.2">
      <c r="M279" s="259"/>
      <c r="Z279" s="338"/>
      <c r="AA279" s="209"/>
      <c r="AB279" s="209"/>
      <c r="AC279" s="338"/>
    </row>
    <row r="280" spans="13:29" x14ac:dyDescent="0.2">
      <c r="M280" s="259"/>
      <c r="Z280" s="338"/>
      <c r="AA280" s="209"/>
      <c r="AB280" s="209"/>
      <c r="AC280" s="338"/>
    </row>
    <row r="281" spans="13:29" x14ac:dyDescent="0.2">
      <c r="M281" s="259"/>
      <c r="Z281" s="338"/>
      <c r="AA281" s="209"/>
      <c r="AB281" s="209"/>
      <c r="AC281" s="338"/>
    </row>
    <row r="282" spans="13:29" x14ac:dyDescent="0.2">
      <c r="M282" s="259"/>
      <c r="Z282" s="338"/>
      <c r="AA282" s="209"/>
      <c r="AB282" s="209"/>
      <c r="AC282" s="338"/>
    </row>
    <row r="283" spans="13:29" x14ac:dyDescent="0.2">
      <c r="M283" s="259"/>
      <c r="Z283" s="338"/>
      <c r="AA283" s="209"/>
      <c r="AB283" s="209"/>
      <c r="AC283" s="338"/>
    </row>
    <row r="284" spans="13:29" x14ac:dyDescent="0.2">
      <c r="M284" s="259"/>
      <c r="Z284" s="338"/>
      <c r="AA284" s="209"/>
      <c r="AB284" s="209"/>
      <c r="AC284" s="338"/>
    </row>
    <row r="285" spans="13:29" x14ac:dyDescent="0.2">
      <c r="M285" s="259"/>
      <c r="Z285" s="338"/>
      <c r="AA285" s="209"/>
      <c r="AB285" s="209"/>
      <c r="AC285" s="338"/>
    </row>
    <row r="286" spans="13:29" x14ac:dyDescent="0.2">
      <c r="M286" s="259"/>
      <c r="Z286" s="338"/>
      <c r="AA286" s="209"/>
      <c r="AB286" s="209"/>
      <c r="AC286" s="338"/>
    </row>
    <row r="287" spans="13:29" x14ac:dyDescent="0.2">
      <c r="M287" s="259"/>
      <c r="Z287" s="338"/>
      <c r="AA287" s="209"/>
      <c r="AB287" s="209"/>
      <c r="AC287" s="338"/>
    </row>
    <row r="288" spans="13:29" x14ac:dyDescent="0.2">
      <c r="M288" s="259"/>
      <c r="Z288" s="338"/>
      <c r="AA288" s="209"/>
      <c r="AB288" s="209"/>
      <c r="AC288" s="338"/>
    </row>
    <row r="289" spans="13:29" x14ac:dyDescent="0.2">
      <c r="M289" s="259"/>
      <c r="Z289" s="338"/>
      <c r="AA289" s="209"/>
      <c r="AB289" s="209"/>
      <c r="AC289" s="338"/>
    </row>
    <row r="290" spans="13:29" x14ac:dyDescent="0.2">
      <c r="M290" s="259"/>
      <c r="Z290" s="338"/>
      <c r="AA290" s="209"/>
      <c r="AB290" s="209"/>
      <c r="AC290" s="338"/>
    </row>
    <row r="291" spans="13:29" x14ac:dyDescent="0.2">
      <c r="M291" s="259"/>
      <c r="Z291" s="338"/>
      <c r="AA291" s="209"/>
      <c r="AB291" s="209"/>
      <c r="AC291" s="338"/>
    </row>
    <row r="292" spans="13:29" x14ac:dyDescent="0.2">
      <c r="M292" s="259"/>
      <c r="Z292" s="338"/>
      <c r="AA292" s="209"/>
      <c r="AB292" s="209"/>
      <c r="AC292" s="338"/>
    </row>
    <row r="293" spans="13:29" x14ac:dyDescent="0.2">
      <c r="M293" s="259"/>
      <c r="Z293" s="338"/>
      <c r="AA293" s="209"/>
      <c r="AB293" s="209"/>
      <c r="AC293" s="338"/>
    </row>
    <row r="294" spans="13:29" x14ac:dyDescent="0.2">
      <c r="M294" s="259"/>
      <c r="Z294" s="338"/>
      <c r="AA294" s="209"/>
      <c r="AB294" s="209"/>
      <c r="AC294" s="338"/>
    </row>
    <row r="295" spans="13:29" x14ac:dyDescent="0.2">
      <c r="M295" s="259"/>
      <c r="Z295" s="338"/>
      <c r="AA295" s="209"/>
      <c r="AB295" s="209"/>
      <c r="AC295" s="338"/>
    </row>
    <row r="296" spans="13:29" x14ac:dyDescent="0.2">
      <c r="M296" s="259"/>
      <c r="Z296" s="338"/>
      <c r="AA296" s="209"/>
      <c r="AB296" s="209"/>
      <c r="AC296" s="338"/>
    </row>
    <row r="297" spans="13:29" x14ac:dyDescent="0.2">
      <c r="M297" s="259"/>
      <c r="Z297" s="338"/>
      <c r="AA297" s="209"/>
      <c r="AB297" s="209"/>
      <c r="AC297" s="338"/>
    </row>
    <row r="298" spans="13:29" x14ac:dyDescent="0.2">
      <c r="M298" s="259"/>
      <c r="Z298" s="338"/>
      <c r="AA298" s="209"/>
      <c r="AB298" s="209"/>
      <c r="AC298" s="338"/>
    </row>
    <row r="299" spans="13:29" x14ac:dyDescent="0.2">
      <c r="M299" s="259"/>
      <c r="Z299" s="338"/>
      <c r="AA299" s="209"/>
      <c r="AB299" s="209"/>
      <c r="AC299" s="338"/>
    </row>
    <row r="300" spans="13:29" x14ac:dyDescent="0.2">
      <c r="M300" s="259"/>
      <c r="Z300" s="338"/>
      <c r="AA300" s="209"/>
      <c r="AB300" s="209"/>
      <c r="AC300" s="338"/>
    </row>
    <row r="301" spans="13:29" x14ac:dyDescent="0.2">
      <c r="M301" s="259"/>
      <c r="Z301" s="338"/>
      <c r="AA301" s="209"/>
      <c r="AB301" s="209"/>
      <c r="AC301" s="338"/>
    </row>
    <row r="302" spans="13:29" x14ac:dyDescent="0.2">
      <c r="M302" s="259"/>
      <c r="Z302" s="338"/>
      <c r="AA302" s="209"/>
      <c r="AB302" s="209"/>
      <c r="AC302" s="338"/>
    </row>
    <row r="303" spans="13:29" x14ac:dyDescent="0.2">
      <c r="M303" s="259"/>
      <c r="Z303" s="338"/>
      <c r="AA303" s="209"/>
      <c r="AB303" s="209"/>
      <c r="AC303" s="338"/>
    </row>
    <row r="304" spans="13:29" x14ac:dyDescent="0.2">
      <c r="M304" s="259"/>
      <c r="Z304" s="338"/>
      <c r="AA304" s="209"/>
      <c r="AB304" s="209"/>
      <c r="AC304" s="338"/>
    </row>
    <row r="305" spans="13:29" x14ac:dyDescent="0.2">
      <c r="M305" s="259"/>
      <c r="Z305" s="338"/>
      <c r="AA305" s="209"/>
      <c r="AB305" s="209"/>
      <c r="AC305" s="338"/>
    </row>
    <row r="306" spans="13:29" x14ac:dyDescent="0.2">
      <c r="M306" s="259"/>
      <c r="Z306" s="338"/>
      <c r="AA306" s="209"/>
      <c r="AB306" s="209"/>
      <c r="AC306" s="338"/>
    </row>
    <row r="307" spans="13:29" x14ac:dyDescent="0.2">
      <c r="M307" s="259"/>
      <c r="Z307" s="338"/>
      <c r="AA307" s="209"/>
      <c r="AB307" s="209"/>
      <c r="AC307" s="338"/>
    </row>
    <row r="308" spans="13:29" x14ac:dyDescent="0.2">
      <c r="M308" s="259"/>
      <c r="Z308" s="338"/>
      <c r="AA308" s="209"/>
      <c r="AB308" s="209"/>
      <c r="AC308" s="338"/>
    </row>
    <row r="309" spans="13:29" x14ac:dyDescent="0.2">
      <c r="M309" s="259"/>
      <c r="Z309" s="338"/>
      <c r="AA309" s="209"/>
      <c r="AB309" s="209"/>
      <c r="AC309" s="338"/>
    </row>
    <row r="310" spans="13:29" x14ac:dyDescent="0.2">
      <c r="M310" s="259"/>
      <c r="Z310" s="338"/>
      <c r="AA310" s="209"/>
      <c r="AB310" s="209"/>
      <c r="AC310" s="338"/>
    </row>
    <row r="311" spans="13:29" x14ac:dyDescent="0.2">
      <c r="M311" s="259"/>
      <c r="Z311" s="338"/>
      <c r="AA311" s="209"/>
      <c r="AB311" s="209"/>
      <c r="AC311" s="338"/>
    </row>
    <row r="312" spans="13:29" x14ac:dyDescent="0.2">
      <c r="M312" s="259"/>
      <c r="Z312" s="338"/>
      <c r="AA312" s="209"/>
      <c r="AB312" s="209"/>
      <c r="AC312" s="338"/>
    </row>
    <row r="313" spans="13:29" x14ac:dyDescent="0.2">
      <c r="M313" s="259"/>
      <c r="Z313" s="338"/>
      <c r="AA313" s="209"/>
      <c r="AB313" s="209"/>
      <c r="AC313" s="338"/>
    </row>
    <row r="314" spans="13:29" x14ac:dyDescent="0.2">
      <c r="M314" s="259"/>
      <c r="Z314" s="338"/>
      <c r="AA314" s="209"/>
      <c r="AB314" s="209"/>
      <c r="AC314" s="338"/>
    </row>
    <row r="315" spans="13:29" x14ac:dyDescent="0.2">
      <c r="M315" s="259"/>
      <c r="Z315" s="338"/>
      <c r="AA315" s="209"/>
      <c r="AB315" s="209"/>
      <c r="AC315" s="338"/>
    </row>
    <row r="316" spans="13:29" x14ac:dyDescent="0.2">
      <c r="M316" s="259"/>
      <c r="Z316" s="338"/>
      <c r="AA316" s="209"/>
      <c r="AB316" s="209"/>
      <c r="AC316" s="338"/>
    </row>
    <row r="317" spans="13:29" x14ac:dyDescent="0.2">
      <c r="M317" s="259"/>
      <c r="Z317" s="338"/>
      <c r="AA317" s="209"/>
      <c r="AB317" s="209"/>
      <c r="AC317" s="338"/>
    </row>
    <row r="318" spans="13:29" x14ac:dyDescent="0.2">
      <c r="M318" s="259"/>
      <c r="Z318" s="338"/>
      <c r="AA318" s="209"/>
      <c r="AB318" s="209"/>
      <c r="AC318" s="338"/>
    </row>
    <row r="319" spans="13:29" x14ac:dyDescent="0.2">
      <c r="M319" s="259"/>
      <c r="Z319" s="338"/>
      <c r="AA319" s="209"/>
      <c r="AB319" s="209"/>
      <c r="AC319" s="338"/>
    </row>
    <row r="320" spans="13:29" x14ac:dyDescent="0.2">
      <c r="M320" s="259"/>
      <c r="Z320" s="338"/>
      <c r="AA320" s="209"/>
      <c r="AB320" s="209"/>
      <c r="AC320" s="338"/>
    </row>
    <row r="321" spans="13:29" x14ac:dyDescent="0.2">
      <c r="M321" s="259"/>
      <c r="Z321" s="338"/>
      <c r="AA321" s="209"/>
      <c r="AB321" s="209"/>
      <c r="AC321" s="338"/>
    </row>
    <row r="322" spans="13:29" x14ac:dyDescent="0.2">
      <c r="M322" s="259"/>
      <c r="Z322" s="338"/>
      <c r="AA322" s="209"/>
      <c r="AB322" s="209"/>
      <c r="AC322" s="338"/>
    </row>
  </sheetData>
  <hyperlinks>
    <hyperlink ref="A2" location="Control!A1" display="CONTROL INPUT" xr:uid="{00000000-0004-0000-0700-000000000000}"/>
    <hyperlink ref="A1" location="Instructions!A1" display="INSTRUCTIONS" xr:uid="{00000000-0004-0000-0700-000001000000}"/>
    <hyperlink ref="A3" location="'Structure Groups'!A1" display="STRUCTURE GROUPS" xr:uid="{00000000-0004-0000-0700-000002000000}"/>
    <hyperlink ref="E1" location="'Weather Cases'!A1" display="WEATHER CASES" xr:uid="{00000000-0004-0000-0700-000003000000}"/>
    <hyperlink ref="E2" location="'Load Criteria'!A1" display="LOAD CRITERIA" xr:uid="{00000000-0004-0000-0700-000004000000}"/>
    <hyperlink ref="E3" location="'pls-cadd folders'!A1" display="PLS-CADD" xr:uid="{00000000-0004-0000-0700-000005000000}"/>
  </hyperlinks>
  <pageMargins left="0.23622047244094491" right="0.23622047244094491" top="0.74803149606299213" bottom="0.74803149606299213" header="0.31496062992125984" footer="0.31496062992125984"/>
  <pageSetup paperSize="8" scale="77" fitToHeight="9" orientation="landscape" r:id="rId1"/>
  <headerFooter>
    <oddHeader>&amp;L&amp;G&amp;RPage &amp;P of &amp;N</oddHeader>
    <oddFooter>&amp;LAD-TE&amp;C&amp;F : &amp;A&amp;R&amp;D</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1"/>
  <dimension ref="B1:D31"/>
  <sheetViews>
    <sheetView zoomScale="85" zoomScaleNormal="85" workbookViewId="0">
      <selection activeCell="C9" sqref="C9"/>
    </sheetView>
  </sheetViews>
  <sheetFormatPr defaultRowHeight="12.75" x14ac:dyDescent="0.2"/>
  <cols>
    <col min="2" max="2" width="90.28515625" customWidth="1"/>
    <col min="3" max="3" width="101.85546875" customWidth="1"/>
  </cols>
  <sheetData>
    <row r="1" spans="2:3" x14ac:dyDescent="0.2">
      <c r="B1" s="377" t="s">
        <v>123</v>
      </c>
      <c r="C1" s="278" t="s">
        <v>141</v>
      </c>
    </row>
    <row r="2" spans="2:3" x14ac:dyDescent="0.2">
      <c r="B2" s="278" t="s">
        <v>137</v>
      </c>
      <c r="C2" s="278" t="s">
        <v>143</v>
      </c>
    </row>
    <row r="3" spans="2:3" x14ac:dyDescent="0.2">
      <c r="B3" s="278" t="s">
        <v>139</v>
      </c>
      <c r="C3" s="278" t="s">
        <v>147</v>
      </c>
    </row>
    <row r="5" spans="2:3" ht="15" x14ac:dyDescent="0.25">
      <c r="B5" s="212" t="s">
        <v>740</v>
      </c>
    </row>
    <row r="6" spans="2:3" ht="15" x14ac:dyDescent="0.25">
      <c r="B6" s="272" t="s">
        <v>741</v>
      </c>
      <c r="C6" s="405" t="s">
        <v>742</v>
      </c>
    </row>
    <row r="7" spans="2:3" ht="15" x14ac:dyDescent="0.25">
      <c r="B7" s="272" t="s">
        <v>743</v>
      </c>
      <c r="C7" s="405" t="s">
        <v>744</v>
      </c>
    </row>
    <row r="8" spans="2:3" ht="15" x14ac:dyDescent="0.25">
      <c r="B8" s="273" t="s">
        <v>745</v>
      </c>
      <c r="C8" s="274" t="s">
        <v>746</v>
      </c>
    </row>
    <row r="9" spans="2:3" x14ac:dyDescent="0.2">
      <c r="B9" s="271" t="str">
        <f t="shared" ref="B9:B25" si="0">REPLACE(C9,1,LEN($C$6),$C$7)</f>
        <v>Q:\ALB-HPI-A\_Master\dxf\shapefiles</v>
      </c>
      <c r="C9" s="494" t="s">
        <v>747</v>
      </c>
    </row>
    <row r="10" spans="2:3" x14ac:dyDescent="0.2">
      <c r="B10" s="271" t="str">
        <f t="shared" si="0"/>
        <v>Q:\ALB-HPI-A\_Master\dxf</v>
      </c>
      <c r="C10" s="405" t="s">
        <v>748</v>
      </c>
    </row>
    <row r="11" spans="2:3" x14ac:dyDescent="0.2">
      <c r="B11" s="271" t="str">
        <f t="shared" si="0"/>
        <v>Q:\ALB-HPI-A\_Master\photos</v>
      </c>
      <c r="C11" s="405" t="s">
        <v>749</v>
      </c>
    </row>
    <row r="12" spans="2:3" x14ac:dyDescent="0.2">
      <c r="B12" s="271" t="str">
        <f t="shared" si="0"/>
        <v>Q:\ALB-HPI-A\_Master\photos\als photos</v>
      </c>
      <c r="C12" s="405" t="s">
        <v>750</v>
      </c>
    </row>
    <row r="13" spans="2:3" x14ac:dyDescent="0.2">
      <c r="B13" s="271" t="str">
        <f t="shared" si="0"/>
        <v>Q:\ALB-HPI-A\_Master\photos\orthophotos</v>
      </c>
      <c r="C13" s="405" t="s">
        <v>751</v>
      </c>
    </row>
    <row r="14" spans="2:3" x14ac:dyDescent="0.2">
      <c r="B14" s="271" t="str">
        <f t="shared" si="0"/>
        <v>Q:\ALB-HPI-A\_Master\structures\tower\for construction</v>
      </c>
      <c r="C14" s="405" t="s">
        <v>752</v>
      </c>
    </row>
    <row r="15" spans="2:3" x14ac:dyDescent="0.2">
      <c r="B15" s="271" t="str">
        <f t="shared" si="0"/>
        <v>Q:\ALB-HPI-A\_Master\structures\tower\final models\2ddhst\received</v>
      </c>
      <c r="C15" s="405" t="s">
        <v>753</v>
      </c>
    </row>
    <row r="16" spans="2:3" x14ac:dyDescent="0.2">
      <c r="B16" s="271" t="str">
        <f t="shared" si="0"/>
        <v>Q:\ALB-HPI-A\_Master\structures\tower\final models</v>
      </c>
      <c r="C16" s="405" t="s">
        <v>754</v>
      </c>
    </row>
    <row r="17" spans="2:4" x14ac:dyDescent="0.2">
      <c r="B17" s="271" t="str">
        <f t="shared" si="0"/>
        <v>Q:\ALB-HPI-A\_Master\structures\tower\final models\2ddlsu</v>
      </c>
      <c r="C17" s="405" t="s">
        <v>755</v>
      </c>
    </row>
    <row r="18" spans="2:4" x14ac:dyDescent="0.2">
      <c r="B18" s="271" t="str">
        <f t="shared" si="0"/>
        <v>Q:\ALB-HPI-A\_Master\structures\tower\final models\2ddlst</v>
      </c>
      <c r="C18" s="405" t="s">
        <v>756</v>
      </c>
    </row>
    <row r="19" spans="2:4" x14ac:dyDescent="0.2">
      <c r="B19" s="271" t="str">
        <f t="shared" si="0"/>
        <v>Q:\ALB-HPI-A\_Master\structures\tower\final models\2ddhsu</v>
      </c>
      <c r="C19" s="405" t="s">
        <v>757</v>
      </c>
    </row>
    <row r="20" spans="2:4" x14ac:dyDescent="0.2">
      <c r="B20" s="271" t="str">
        <f t="shared" si="0"/>
        <v>Q:\ALB-HPI-A\_Master\structures\tower\final models\2ddhst</v>
      </c>
      <c r="C20" s="405" t="s">
        <v>758</v>
      </c>
    </row>
    <row r="21" spans="2:4" x14ac:dyDescent="0.2">
      <c r="B21" s="271" t="str">
        <f t="shared" si="0"/>
        <v>Q:\ALB-HPI-A\_Master\structures\stick</v>
      </c>
      <c r="C21" s="405" t="s">
        <v>759</v>
      </c>
    </row>
    <row r="22" spans="2:4" x14ac:dyDescent="0.2">
      <c r="B22" s="271" t="str">
        <f t="shared" si="0"/>
        <v>Q:\ALB-HPI-A\_Master\structures</v>
      </c>
      <c r="C22" s="405" t="s">
        <v>760</v>
      </c>
    </row>
    <row r="23" spans="2:4" x14ac:dyDescent="0.2">
      <c r="B23" s="271" t="str">
        <f t="shared" si="0"/>
        <v>Q:\ALB-HPI-A\_Master</v>
      </c>
      <c r="C23" s="405" t="s">
        <v>761</v>
      </c>
    </row>
    <row r="24" spans="2:4" x14ac:dyDescent="0.2">
      <c r="B24" s="271" t="str">
        <f t="shared" si="0"/>
        <v>Q:\ALB-HPI-A\_Master\cables\temp earthwires</v>
      </c>
      <c r="C24" s="494" t="s">
        <v>762</v>
      </c>
    </row>
    <row r="25" spans="2:4" x14ac:dyDescent="0.2">
      <c r="B25" s="271" t="str">
        <f t="shared" si="0"/>
        <v>Q:\ALB-HPI-A\_Master\cables</v>
      </c>
      <c r="C25" s="405" t="s">
        <v>763</v>
      </c>
    </row>
    <row r="26" spans="2:4" x14ac:dyDescent="0.2">
      <c r="B26" s="271"/>
      <c r="C26" s="405"/>
      <c r="D26" t="str">
        <f>REPLACE(C26,1,LEN($C$6),"")</f>
        <v/>
      </c>
    </row>
    <row r="27" spans="2:4" x14ac:dyDescent="0.2">
      <c r="B27" s="271"/>
      <c r="C27" s="405"/>
    </row>
    <row r="28" spans="2:4" x14ac:dyDescent="0.2">
      <c r="B28" s="271"/>
      <c r="C28" s="405"/>
    </row>
    <row r="29" spans="2:4" x14ac:dyDescent="0.2">
      <c r="B29" s="271"/>
      <c r="C29" s="405"/>
    </row>
    <row r="30" spans="2:4" x14ac:dyDescent="0.2">
      <c r="B30" s="271"/>
      <c r="C30" s="405"/>
    </row>
    <row r="31" spans="2:4" x14ac:dyDescent="0.2">
      <c r="B31" s="271"/>
      <c r="C31" s="405"/>
    </row>
  </sheetData>
  <sheetProtection algorithmName="SHA-512" hashValue="ffdFv+MuBP9a3WBiQwRrCJqpCd60l+KWoUgZ9bzVUN7urEA8obYTZw+hwY5J9sQ2B9F/eQnVRl3eaq+R7C0iJA==" saltValue="QaiuYAf3uHIxwq5si0T2uw==" spinCount="100000" sheet="1" objects="1" scenarios="1"/>
  <hyperlinks>
    <hyperlink ref="B3" location="Control!A1" display="CONTROL INPUT" xr:uid="{00000000-0004-0000-0800-000000000000}"/>
    <hyperlink ref="B1" location="Instructions!A1" display="INSTRUCTIONS" xr:uid="{00000000-0004-0000-0800-000001000000}"/>
    <hyperlink ref="C1" location="'Structure Groups'!A1" display="STRUCTURE GROUPS" xr:uid="{00000000-0004-0000-0800-000002000000}"/>
    <hyperlink ref="B2" location="'Staking Table'!A1" display="STAKING TABLE" xr:uid="{00000000-0004-0000-0800-000003000000}"/>
    <hyperlink ref="C3" location="'Load Criteria'!A1" display="LOAD CRITERIA" xr:uid="{00000000-0004-0000-0800-000004000000}"/>
    <hyperlink ref="C2" location="'Weather Cases'!A1" display="WEATHER CASES" xr:uid="{00000000-0004-0000-0800-000005000000}"/>
  </hyperlink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Transpower Documents" ma:contentTypeID="0x01010059C9F7FCA502814A82AE6D925899EB860100AAB18DAE45712548A3EE62C2BB9799D5" ma:contentTypeVersion="10" ma:contentTypeDescription="Create a new document." ma:contentTypeScope="" ma:versionID="975a41a60d28d4708846a9c16e99ac39">
  <xsd:schema xmlns:xsd="http://www.w3.org/2001/XMLSchema" xmlns:xs="http://www.w3.org/2001/XMLSchema" xmlns:p="http://schemas.microsoft.com/office/2006/metadata/properties" xmlns:ns1="http://schemas.microsoft.com/sharepoint/v3" xmlns:ns2="bb70162e-eb27-4d5a-b0b4-a6ff9c51a824" xmlns:ns3="1ab6a0a7-d4d2-4d17-aff9-87b682303f47" targetNamespace="http://schemas.microsoft.com/office/2006/metadata/properties" ma:root="true" ma:fieldsID="adc734b908a92f7575ce717544e6cc99" ns1:_="" ns2:_="" ns3:_="">
    <xsd:import namespace="http://schemas.microsoft.com/sharepoint/v3"/>
    <xsd:import namespace="bb70162e-eb27-4d5a-b0b4-a6ff9c51a824"/>
    <xsd:import namespace="1ab6a0a7-d4d2-4d17-aff9-87b682303f47"/>
    <xsd:element name="properties">
      <xsd:complexType>
        <xsd:sequence>
          <xsd:element name="documentManagement">
            <xsd:complexType>
              <xsd:all>
                <xsd:element ref="ns2:DocumentOwner" minOccurs="0"/>
                <xsd:element ref="ns3:TaxCatchAll" minOccurs="0"/>
                <xsd:element ref="ns2:TaxCatchAllLabel" minOccurs="0"/>
                <xsd:element ref="ns2:i3bd649c5d9a4a9da64629564c9f6005" minOccurs="0"/>
                <xsd:element ref="ns2:cae60dfdaf93443cb08b70dcc01e1fa7" minOccurs="0"/>
                <xsd:element ref="ns2:m426f7762c0c49a0a5c17c599ca60380" minOccurs="0"/>
                <xsd:element ref="ns2:a8df54ddb0f2487fbc88284a7115d9fa" minOccurs="0"/>
                <xsd:element ref="ns2:DocumentDescription" minOccurs="0"/>
                <xsd:element ref="ns3:_dlc_DocId" minOccurs="0"/>
                <xsd:element ref="ns3:_dlc_DocIdPersistId" minOccurs="0"/>
                <xsd:element ref="ns3:_dlc_DocIdUrl" minOccurs="0"/>
                <xsd:element ref="ns1:V3Comments" minOccurs="0"/>
                <xsd:element ref="ns2:MediaServiceMetadata" minOccurs="0"/>
                <xsd:element ref="ns2:MediaServiceFastMetadata" minOccurs="0"/>
                <xsd:element ref="ns2:MediaServiceSearchProperties" minOccurs="0"/>
                <xsd:element ref="ns2:MediaServiceBillingMetadata"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V3Comments" ma:index="23" nillable="true" ma:displayName="Comments" ma:internalName="V3Comments">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b70162e-eb27-4d5a-b0b4-a6ff9c51a824" elementFormDefault="qualified">
    <xsd:import namespace="http://schemas.microsoft.com/office/2006/documentManagement/types"/>
    <xsd:import namespace="http://schemas.microsoft.com/office/infopath/2007/PartnerControls"/>
    <xsd:element name="DocumentOwner" ma:index="2" nillable="true" ma:displayName="Document Owner" ma:default="Sara Ayliffe" ma:description="Owner of item" ma:hidden="true" ma:internalName="DocumentOwner" ma:readOnly="false">
      <xsd:simpleType>
        <xsd:restriction base="dms:Text">
          <xsd:maxLength value="255"/>
        </xsd:restriction>
      </xsd:simpleType>
    </xsd:element>
    <xsd:element name="TaxCatchAllLabel" ma:index="6" nillable="true" ma:displayName="Taxonomy Catch All Column1" ma:hidden="true" ma:list="{47722b29-2ae1-485e-b8e9-4f9ea13c789e}" ma:internalName="TaxCatchAllLabel" ma:readOnly="true" ma:showField="CatchAllDataLabel">
      <xsd:complexType>
        <xsd:complexContent>
          <xsd:extension base="dms:MultiChoiceLookup">
            <xsd:sequence>
              <xsd:element name="Value" type="dms:Lookup" maxOccurs="unbounded" minOccurs="0" nillable="true"/>
            </xsd:sequence>
          </xsd:extension>
        </xsd:complexContent>
      </xsd:complexType>
    </xsd:element>
    <xsd:element name="i3bd649c5d9a4a9da64629564c9f6005" ma:index="11" nillable="true" ma:displayName="BusinessFunctionL1_0" ma:hidden="true" ma:internalName="i3bd649c5d9a4a9da64629564c9f6005">
      <xsd:simpleType>
        <xsd:restriction base="dms:Note"/>
      </xsd:simpleType>
    </xsd:element>
    <xsd:element name="cae60dfdaf93443cb08b70dcc01e1fa7" ma:index="13" nillable="true" ma:displayName="BusinessFunctionL2_0" ma:hidden="true" ma:internalName="cae60dfdaf93443cb08b70dcc01e1fa7">
      <xsd:simpleType>
        <xsd:restriction base="dms:Note"/>
      </xsd:simpleType>
    </xsd:element>
    <xsd:element name="m426f7762c0c49a0a5c17c599ca60380" ma:index="15" nillable="true" ma:displayName="BusinessFunctionL3_0" ma:hidden="true" ma:internalName="m426f7762c0c49a0a5c17c599ca60380">
      <xsd:simpleType>
        <xsd:restriction base="dms:Note"/>
      </xsd:simpleType>
    </xsd:element>
    <xsd:element name="a8df54ddb0f2487fbc88284a7115d9fa" ma:index="17" nillable="true" ma:displayName="SecurityClassification_0" ma:hidden="true" ma:internalName="a8df54ddb0f2487fbc88284a7115d9fa">
      <xsd:simpleType>
        <xsd:restriction base="dms:Note"/>
      </xsd:simpleType>
    </xsd:element>
    <xsd:element name="DocumentDescription" ma:index="19" nillable="true" ma:displayName="Document Description" ma:description="Enter 1 or 2 sentences which will provide the searcher with a succinct overview of the document." ma:internalName="DocumentDescription" ma:readOnly="false">
      <xsd:simpleType>
        <xsd:restriction base="dms:Note">
          <xsd:maxLength value="255"/>
        </xsd:restriction>
      </xsd:simpleType>
    </xsd:element>
    <xsd:element name="MediaServiceMetadata" ma:index="25" nillable="true" ma:displayName="MediaServiceMetadata" ma:hidden="true" ma:internalName="MediaServiceMetadata" ma:readOnly="true">
      <xsd:simpleType>
        <xsd:restriction base="dms:Note"/>
      </xsd:simpleType>
    </xsd:element>
    <xsd:element name="MediaServiceFastMetadata" ma:index="26" nillable="true" ma:displayName="MediaServiceFastMetadata" ma:hidden="true" ma:internalName="MediaServiceFastMetadata" ma:readOnly="true">
      <xsd:simpleType>
        <xsd:restriction base="dms:Note"/>
      </xsd:simpleType>
    </xsd:element>
    <xsd:element name="MediaServiceSearchProperties" ma:index="27" nillable="true" ma:displayName="MediaServiceSearchProperties" ma:hidden="true" ma:internalName="MediaServiceSearchProperties" ma:readOnly="true">
      <xsd:simpleType>
        <xsd:restriction base="dms:Note"/>
      </xsd:simpleType>
    </xsd:element>
    <xsd:element name="MediaServiceBillingMetadata" ma:index="28" nillable="true" ma:displayName="MediaServiceBillingMetadata" ma:hidden="true" ma:internalName="MediaServiceBillingMetadata" ma:readOnly="true">
      <xsd:simpleType>
        <xsd:restriction base="dms:Note"/>
      </xsd:simpleType>
    </xsd:element>
    <xsd:element name="MediaServiceDateTaken" ma:index="29" nillable="true" ma:displayName="MediaServiceDateTaken" ma:hidden="true" ma:indexed="true" ma:internalName="MediaServiceDateTaken" ma:readOnly="true">
      <xsd:simpleType>
        <xsd:restriction base="dms:Text"/>
      </xsd:simpleType>
    </xsd:element>
    <xsd:element name="MediaServiceGenerationTime" ma:index="30" nillable="true" ma:displayName="MediaServiceGenerationTime" ma:hidden="true" ma:internalName="MediaServiceGenerationTime" ma:readOnly="true">
      <xsd:simpleType>
        <xsd:restriction base="dms:Text"/>
      </xsd:simpleType>
    </xsd:element>
    <xsd:element name="MediaServiceEventHashCode" ma:index="31" nillable="true" ma:displayName="MediaServiceEventHashCode" ma:hidden="true" ma:internalName="MediaServiceEventHashCode" ma:readOnly="true">
      <xsd:simpleType>
        <xsd:restriction base="dms:Text"/>
      </xsd:simpleType>
    </xsd:element>
    <xsd:element name="MediaLengthInSeconds" ma:index="3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1ab6a0a7-d4d2-4d17-aff9-87b682303f47" elementFormDefault="qualified">
    <xsd:import namespace="http://schemas.microsoft.com/office/2006/documentManagement/types"/>
    <xsd:import namespace="http://schemas.microsoft.com/office/infopath/2007/PartnerControls"/>
    <xsd:element name="TaxCatchAll" ma:index="5" nillable="true" ma:displayName="Taxonomy Catch All Column" ma:description="" ma:hidden="true" ma:list="{47722b29-2ae1-485e-b8e9-4f9ea13c789e}" ma:internalName="TaxCatchAll" ma:showField="CatchAllData" ma:web="1ab6a0a7-d4d2-4d17-aff9-87b682303f47">
      <xsd:complexType>
        <xsd:complexContent>
          <xsd:extension base="dms:MultiChoiceLookup">
            <xsd:sequence>
              <xsd:element name="Value" type="dms:Lookup" maxOccurs="unbounded" minOccurs="0" nillable="true"/>
            </xsd:sequence>
          </xsd:extension>
        </xsd:complexContent>
      </xsd:complexType>
    </xsd:element>
    <xsd:element name="_dlc_DocId" ma:index="20" nillable="true" ma:displayName="Document ID Value" ma:description="The value of the document ID assigned to this item." ma:indexed="true" ma:internalName="_dlc_DocId" ma:readOnly="true">
      <xsd:simpleType>
        <xsd:restriction base="dms:Text"/>
      </xsd:simpleType>
    </xsd:element>
    <xsd:element name="_dlc_DocIdPersistId" ma:index="21" nillable="true" ma:displayName="Persist ID" ma:description="Keep ID on add." ma:hidden="true" ma:internalName="_dlc_DocIdPersistId" ma:readOnly="true">
      <xsd:simpleType>
        <xsd:restriction base="dms:Boolean"/>
      </xsd:simpleType>
    </xsd:element>
    <xsd:element name="_dlc_DocIdUrl" ma:index="22"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8"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TaxCatchAll xmlns="1ab6a0a7-d4d2-4d17-aff9-87b682303f47">
      <Value>5</Value>
      <Value>4</Value>
      <Value>3</Value>
      <Value>1</Value>
    </TaxCatchAll>
    <_dlc_DocId xmlns="1ab6a0a7-d4d2-4d17-aff9-87b682303f47">TPDOC-1248390965-4496</_dlc_DocId>
    <_dlc_DocIdUrl xmlns="1ab6a0a7-d4d2-4d17-aff9-87b682303f47">
      <Url>https://transpowernz.sharepoint.com/sites/gm148/_layouts/15/DocIdRedir.aspx?ID=TPDOC-1248390965-4496</Url>
      <Description>TPDOC-1248390965-4496</Description>
    </_dlc_DocIdUrl>
    <cae60dfdaf93443cb08b70dcc01e1fa7 xmlns="bb70162e-eb27-4d5a-b0b4-a6ff9c51a824" xsi:nil="true"/>
    <DocumentOwner xmlns="bb70162e-eb27-4d5a-b0b4-a6ff9c51a824">Sara Ayliffe</DocumentOwner>
    <DocumentDescription xmlns="bb70162e-eb27-4d5a-b0b4-a6ff9c51a824" xsi:nil="true"/>
    <V3Comments xmlns="http://schemas.microsoft.com/sharepoint/v3" xsi:nil="true"/>
    <a8df54ddb0f2487fbc88284a7115d9fa xmlns="bb70162e-eb27-4d5a-b0b4-a6ff9c51a824" xsi:nil="true"/>
    <i3bd649c5d9a4a9da64629564c9f6005 xmlns="bb70162e-eb27-4d5a-b0b4-a6ff9c51a824" xsi:nil="true"/>
    <m426f7762c0c49a0a5c17c599ca60380 xmlns="bb70162e-eb27-4d5a-b0b4-a6ff9c51a824" xsi:nil="true"/>
    <_dlc_DocIdPersistId xmlns="1ab6a0a7-d4d2-4d17-aff9-87b682303f47">false</_dlc_DocIdPersistId>
  </documentManagement>
</p:properties>
</file>

<file path=customXml/itemProps1.xml><?xml version="1.0" encoding="utf-8"?>
<ds:datastoreItem xmlns:ds="http://schemas.openxmlformats.org/officeDocument/2006/customXml" ds:itemID="{02DF22FF-F7AD-477D-8FD8-9E2AFBF56598}">
  <ds:schemaRefs>
    <ds:schemaRef ds:uri="http://schemas.microsoft.com/sharepoint/events"/>
  </ds:schemaRefs>
</ds:datastoreItem>
</file>

<file path=customXml/itemProps2.xml><?xml version="1.0" encoding="utf-8"?>
<ds:datastoreItem xmlns:ds="http://schemas.openxmlformats.org/officeDocument/2006/customXml" ds:itemID="{728321AA-E018-4A43-894C-8945F2111CDC}"/>
</file>

<file path=customXml/itemProps3.xml><?xml version="1.0" encoding="utf-8"?>
<ds:datastoreItem xmlns:ds="http://schemas.openxmlformats.org/officeDocument/2006/customXml" ds:itemID="{1217FBEB-08D7-4CB0-ACB6-F9645C07327D}">
  <ds:schemaRefs>
    <ds:schemaRef ds:uri="http://schemas.microsoft.com/sharepoint/v3/contenttype/forms"/>
  </ds:schemaRefs>
</ds:datastoreItem>
</file>

<file path=customXml/itemProps4.xml><?xml version="1.0" encoding="utf-8"?>
<ds:datastoreItem xmlns:ds="http://schemas.openxmlformats.org/officeDocument/2006/customXml" ds:itemID="{6B4FA29E-B293-4313-B9A1-7EB2EB926600}">
  <ds:schemaRefs>
    <ds:schemaRef ds:uri="1ab6a0a7-d4d2-4d17-aff9-87b682303f47"/>
    <ds:schemaRef ds:uri="http://schemas.openxmlformats.org/package/2006/metadata/core-properties"/>
    <ds:schemaRef ds:uri="http://purl.org/dc/dcmitype/"/>
    <ds:schemaRef ds:uri="http://schemas.microsoft.com/sharepoint/v3"/>
    <ds:schemaRef ds:uri="http://www.w3.org/XML/1998/namespace"/>
    <ds:schemaRef ds:uri="http://purl.org/dc/elements/1.1/"/>
    <ds:schemaRef ds:uri="http://schemas.microsoft.com/office/infopath/2007/PartnerControls"/>
    <ds:schemaRef ds:uri="http://schemas.microsoft.com/office/2006/documentManagement/types"/>
    <ds:schemaRef ds:uri="http://purl.org/dc/terms/"/>
    <ds:schemaRef ds:uri="bb70162e-eb27-4d5a-b0b4-a6ff9c51a824"/>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29</vt:i4>
      </vt:variant>
    </vt:vector>
  </HeadingPairs>
  <TitlesOfParts>
    <vt:vector size="41" baseType="lpstr">
      <vt:lpstr>Revision</vt:lpstr>
      <vt:lpstr>Instructions</vt:lpstr>
      <vt:lpstr>Structure Groups</vt:lpstr>
      <vt:lpstr>Weather Cases</vt:lpstr>
      <vt:lpstr>Cables</vt:lpstr>
      <vt:lpstr>Load Criteria</vt:lpstr>
      <vt:lpstr>Control</vt:lpstr>
      <vt:lpstr>Staking Table</vt:lpstr>
      <vt:lpstr>pls-cadd folders</vt:lpstr>
      <vt:lpstr>Ref</vt:lpstr>
      <vt:lpstr>Weather Cases All</vt:lpstr>
      <vt:lpstr>Conductor-Properties</vt:lpstr>
      <vt:lpstr>Altitude</vt:lpstr>
      <vt:lpstr>Avg_Cond_Height</vt:lpstr>
      <vt:lpstr>Con_Weight</vt:lpstr>
      <vt:lpstr>Cond_Dia</vt:lpstr>
      <vt:lpstr>ConName</vt:lpstr>
      <vt:lpstr>ConProp</vt:lpstr>
      <vt:lpstr>Dist_from_coast</vt:lpstr>
      <vt:lpstr>Ice_Zones</vt:lpstr>
      <vt:lpstr>Line_Reliability</vt:lpstr>
      <vt:lpstr>Pole_type</vt:lpstr>
      <vt:lpstr>Cables!Print_Area</vt:lpstr>
      <vt:lpstr>Control!Print_Area</vt:lpstr>
      <vt:lpstr>Instructions!Print_Area</vt:lpstr>
      <vt:lpstr>'Load Criteria'!Print_Area</vt:lpstr>
      <vt:lpstr>Revision!Print_Area</vt:lpstr>
      <vt:lpstr>'Staking Table'!Print_Area</vt:lpstr>
      <vt:lpstr>'Structure Groups'!Print_Area</vt:lpstr>
      <vt:lpstr>'Weather Cases'!Print_Area</vt:lpstr>
      <vt:lpstr>'Weather Cases All'!Print_Area</vt:lpstr>
      <vt:lpstr>'Load Criteria'!Print_Titles</vt:lpstr>
      <vt:lpstr>Revision!Print_Titles</vt:lpstr>
      <vt:lpstr>'Weather Cases'!Print_Titles</vt:lpstr>
      <vt:lpstr>'Weather Cases All'!Print_Titles</vt:lpstr>
      <vt:lpstr>Return_period</vt:lpstr>
      <vt:lpstr>Selected_Line_Reliability</vt:lpstr>
      <vt:lpstr>Selected_Terrain</vt:lpstr>
      <vt:lpstr>Terrains</vt:lpstr>
      <vt:lpstr>Voltages</vt:lpstr>
      <vt:lpstr>Wind_Zones</vt:lpstr>
    </vt:vector>
  </TitlesOfParts>
  <Manager/>
  <Company>Transpower NZ Limited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PLS-CADD Load Case Generator</dc:title>
  <dc:subject/>
  <dc:creator>Ryan Rowell</dc:creator>
  <cp:keywords/>
  <dc:description/>
  <cp:lastModifiedBy>Emily Koeck</cp:lastModifiedBy>
  <cp:revision/>
  <dcterms:created xsi:type="dcterms:W3CDTF">2000-01-04T14:16:25Z</dcterms:created>
  <dcterms:modified xsi:type="dcterms:W3CDTF">2025-12-03T21:25:52Z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0x01010059C9F7FCA502814A82AE6D925899EB860100AAB18DAE45712548A3EE62C2BB9799D5</vt:lpwstr>
  </property>
  <property fmtid="{D5CDD505-2E9C-101B-9397-08002B2CF9AE}" pid="3" name="SiteLocation">
    <vt:lpwstr/>
  </property>
  <property fmtid="{D5CDD505-2E9C-101B-9397-08002B2CF9AE}" pid="4" name="RegionServiceArea">
    <vt:lpwstr/>
  </property>
  <property fmtid="{D5CDD505-2E9C-101B-9397-08002B2CF9AE}" pid="5" name="_dlc_policyId">
    <vt:lpwstr/>
  </property>
  <property fmtid="{D5CDD505-2E9C-101B-9397-08002B2CF9AE}" pid="6" name="ItemRetentionFormula">
    <vt:lpwstr/>
  </property>
  <property fmtid="{D5CDD505-2E9C-101B-9397-08002B2CF9AE}" pid="7" name="_dlc_DocIdItemGuid">
    <vt:lpwstr>3077e7bb-49b7-473b-8362-388f5b4a1aae</vt:lpwstr>
  </property>
  <property fmtid="{D5CDD505-2E9C-101B-9397-08002B2CF9AE}" pid="8" name="FunctionActivity">
    <vt:lpwstr>26;#Consulting projects|5c6f2d9e-a576-4291-93e5-e199006cdc80</vt:lpwstr>
  </property>
  <property fmtid="{D5CDD505-2E9C-101B-9397-08002B2CF9AE}" pid="9" name="GLActivity">
    <vt:lpwstr>Consulting projects</vt:lpwstr>
  </property>
  <property fmtid="{D5CDD505-2E9C-101B-9397-08002B2CF9AE}" pid="10" name="GLFunction">
    <vt:lpwstr>Projects</vt:lpwstr>
  </property>
  <property fmtid="{D5CDD505-2E9C-101B-9397-08002B2CF9AE}" pid="11" name="FlowModified">
    <vt:filetime>2021-03-09T02:46:07Z</vt:filetime>
  </property>
  <property fmtid="{D5CDD505-2E9C-101B-9397-08002B2CF9AE}" pid="12" name="MediaServiceImageTags">
    <vt:lpwstr/>
  </property>
  <property fmtid="{D5CDD505-2E9C-101B-9397-08002B2CF9AE}" pid="13" name="Order">
    <vt:r8>10054300</vt:r8>
  </property>
  <property fmtid="{D5CDD505-2E9C-101B-9397-08002B2CF9AE}" pid="14" name="xd_ProgID">
    <vt:lpwstr/>
  </property>
  <property fmtid="{D5CDD505-2E9C-101B-9397-08002B2CF9AE}" pid="15" name="ComplianceAssetId">
    <vt:lpwstr/>
  </property>
  <property fmtid="{D5CDD505-2E9C-101B-9397-08002B2CF9AE}" pid="16" name="TemplateUrl">
    <vt:lpwstr/>
  </property>
  <property fmtid="{D5CDD505-2E9C-101B-9397-08002B2CF9AE}" pid="17" name="_ExtendedDescription">
    <vt:lpwstr/>
  </property>
  <property fmtid="{D5CDD505-2E9C-101B-9397-08002B2CF9AE}" pid="18" name="TriggerFlowInfo">
    <vt:lpwstr/>
  </property>
  <property fmtid="{D5CDD505-2E9C-101B-9397-08002B2CF9AE}" pid="19" name="Security Classification">
    <vt:lpwstr>IN CONFIDENCE</vt:lpwstr>
  </property>
  <property fmtid="{D5CDD505-2E9C-101B-9397-08002B2CF9AE}" pid="20" name="xd_Signature">
    <vt:bool>false</vt:bool>
  </property>
  <property fmtid="{D5CDD505-2E9C-101B-9397-08002B2CF9AE}" pid="21" name="a8df54ddb0f2487fbc88284a7115d9fa0">
    <vt:lpwstr>IN CONFIDENCE|2a299c00-b378-4eb4-a5f9-1e204b54aa0d</vt:lpwstr>
  </property>
  <property fmtid="{D5CDD505-2E9C-101B-9397-08002B2CF9AE}" pid="22" name="i3bd649c5d9a4a9da64629564c9f60050">
    <vt:lpwstr>Grid Asset Management|4f561a78-0f2e-450b-99d9-a42e52b52127</vt:lpwstr>
  </property>
  <property fmtid="{D5CDD505-2E9C-101B-9397-08002B2CF9AE}" pid="23" name="m426f7762c0c49a0a5c17c599ca603800">
    <vt:lpwstr>Standards and Specifications|c6a3a3db-d858-4841-bbed-0e8c5bfda330</vt:lpwstr>
  </property>
  <property fmtid="{D5CDD505-2E9C-101B-9397-08002B2CF9AE}" pid="24" name="cae60dfdaf93443cb08b70dcc01e1fa70">
    <vt:lpwstr>Tactical Planning|301e4827-dcca-4021-b1d3-bc276c7722e5</vt:lpwstr>
  </property>
  <property fmtid="{D5CDD505-2E9C-101B-9397-08002B2CF9AE}" pid="25" name="SecurityClassification">
    <vt:lpwstr>1;#IN CONFIDENCE|2a299c00-b378-4eb4-a5f9-1e204b54aa0d</vt:lpwstr>
  </property>
  <property fmtid="{D5CDD505-2E9C-101B-9397-08002B2CF9AE}" pid="26" name="BusinessFunctionL1">
    <vt:lpwstr>3;#Grid Asset Management|4f561a78-0f2e-450b-99d9-a42e52b52127</vt:lpwstr>
  </property>
  <property fmtid="{D5CDD505-2E9C-101B-9397-08002B2CF9AE}" pid="27" name="BusinessFunctionL2">
    <vt:lpwstr>4;#Tactical Planning|301e4827-dcca-4021-b1d3-bc276c7722e5</vt:lpwstr>
  </property>
  <property fmtid="{D5CDD505-2E9C-101B-9397-08002B2CF9AE}" pid="28" name="BusinessFunctionL3">
    <vt:lpwstr>5;#Standards and Specifications|c6a3a3db-d858-4841-bbed-0e8c5bfda330</vt:lpwstr>
  </property>
  <property fmtid="{D5CDD505-2E9C-101B-9397-08002B2CF9AE}" pid="29" name="MSIP_Label_ec504e64-2eb9-4143-98d1-ab3085e5d939_Enabled">
    <vt:lpwstr>true</vt:lpwstr>
  </property>
  <property fmtid="{D5CDD505-2E9C-101B-9397-08002B2CF9AE}" pid="30" name="MSIP_Label_ec504e64-2eb9-4143-98d1-ab3085e5d939_SetDate">
    <vt:lpwstr>2025-09-04T05:21:18Z</vt:lpwstr>
  </property>
  <property fmtid="{D5CDD505-2E9C-101B-9397-08002B2CF9AE}" pid="31" name="MSIP_Label_ec504e64-2eb9-4143-98d1-ab3085e5d939_Method">
    <vt:lpwstr>Standard</vt:lpwstr>
  </property>
  <property fmtid="{D5CDD505-2E9C-101B-9397-08002B2CF9AE}" pid="32" name="MSIP_Label_ec504e64-2eb9-4143-98d1-ab3085e5d939_Name">
    <vt:lpwstr>ec504e64-2eb9-4143-98d1-ab3085e5d939</vt:lpwstr>
  </property>
  <property fmtid="{D5CDD505-2E9C-101B-9397-08002B2CF9AE}" pid="33" name="MSIP_Label_ec504e64-2eb9-4143-98d1-ab3085e5d939_SiteId">
    <vt:lpwstr>cb644580-6519-46f6-a00f-5bac4352068f</vt:lpwstr>
  </property>
  <property fmtid="{D5CDD505-2E9C-101B-9397-08002B2CF9AE}" pid="34" name="MSIP_Label_ec504e64-2eb9-4143-98d1-ab3085e5d939_ContentBits">
    <vt:lpwstr>0</vt:lpwstr>
  </property>
  <property fmtid="{D5CDD505-2E9C-101B-9397-08002B2CF9AE}" pid="35" name="MSIP_Label_ec504e64-2eb9-4143-98d1-ab3085e5d939_Tag">
    <vt:lpwstr>10, 3, 0, 1</vt:lpwstr>
  </property>
</Properties>
</file>