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ustomProperty1.bin" ContentType="application/vnd.openxmlformats-officedocument.spreadsheetml.customProperty"/>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empseyl\Downloads\"/>
    </mc:Choice>
  </mc:AlternateContent>
  <xr:revisionPtr revIDLastSave="0" documentId="8_{CE833638-599E-4E92-A6DD-97E1F86E4C39}" xr6:coauthVersionLast="47" xr6:coauthVersionMax="47" xr10:uidLastSave="{00000000-0000-0000-0000-000000000000}"/>
  <bookViews>
    <workbookView xWindow="-11388" yWindow="12852" windowWidth="23256" windowHeight="13896" tabRatio="658" xr2:uid="{404BC37B-96CA-400E-BA96-D8AFD928808B}"/>
  </bookViews>
  <sheets>
    <sheet name="Cover" sheetId="6" r:id="rId1"/>
    <sheet name="Directors Certificate" sheetId="7" r:id="rId2"/>
    <sheet name="Assurance Report" sheetId="3" r:id="rId3"/>
    <sheet name="Table of Contents" sheetId="44" r:id="rId4"/>
    <sheet name="1_Inputs" sheetId="51" r:id="rId5"/>
    <sheet name="Revenue and expenditure" sheetId="48" r:id="rId6"/>
    <sheet name="2_Revenue" sheetId="52" r:id="rId7"/>
    <sheet name="3_RevenueBuildingBlocks" sheetId="4" r:id="rId8"/>
    <sheet name="4_RAB" sheetId="16" r:id="rId9"/>
    <sheet name="5_BaseCapexAllowance" sheetId="15" r:id="rId10"/>
    <sheet name="Cognos_Office_Connection_Cache" sheetId="30" state="veryHidden" r:id="rId11"/>
    <sheet name="6_BaseCapexDisparitiesAdj" sheetId="24" r:id="rId12"/>
    <sheet name="7_Base&amp;MajorCapexAdj" sheetId="21" r:id="rId13"/>
    <sheet name="8_OpexAllowance" sheetId="54" r:id="rId14"/>
    <sheet name="9_Opex" sheetId="50" r:id="rId15"/>
    <sheet name="10_EVAccount" sheetId="11" r:id="rId16"/>
    <sheet name="11_Pass-Through&amp;Recoverables" sheetId="13" r:id="rId17"/>
    <sheet name="12_Tax" sheetId="19" r:id="rId18"/>
    <sheet name="Quality performance" sheetId="46" r:id="rId19"/>
    <sheet name="13_RevenueLinkedQualityMeasures" sheetId="47" r:id="rId20"/>
    <sheet name="14_QualityStandards" sheetId="1" r:id="rId21"/>
    <sheet name="Additional Info to the ACS" sheetId="57" r:id="rId22"/>
    <sheet name="15_Events-AP&amp;AH" sheetId="40" r:id="rId23"/>
    <sheet name="16_CustomerMeasures" sheetId="56" r:id="rId24"/>
    <sheet name="17_QualityStandards-AddInfo" sheetId="38" r:id="rId25"/>
  </sheets>
  <definedNames>
    <definedName name="__ITT3">#REF!</definedName>
    <definedName name="__lob2">#REF!</definedName>
    <definedName name="__SPA3">#REF!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Hlk26272835">#REF!</definedName>
    <definedName name="_ITT3">#REF!</definedName>
    <definedName name="_lob2">#REF!</definedName>
    <definedName name="_msoanchor_2">#REF!</definedName>
    <definedName name="_SPA3">#REF!</definedName>
    <definedName name="_xleta.FILTER" hidden="1">#NAME?</definedName>
    <definedName name="_xleta.IF" hidden="1">#NAME?</definedName>
    <definedName name="_xleta.N" hidden="1">#NAME?</definedName>
    <definedName name="_xleta.XLOOKUP" hidden="1">#NAME?</definedName>
    <definedName name="aa">#REF!</definedName>
    <definedName name="ACC_CHK">#REF!</definedName>
    <definedName name="AccountList">#REF!</definedName>
    <definedName name="ActivityTypeNew">#REF!</definedName>
    <definedName name="Actual">#REF!</definedName>
    <definedName name="actualscenario">#REF!</definedName>
    <definedName name="ActualYTD4">#REF!</definedName>
    <definedName name="add">#REF!</definedName>
    <definedName name="add_admin">#REF!</definedName>
    <definedName name="add_comm">#REF!</definedName>
    <definedName name="add_dctl">#REF!</definedName>
    <definedName name="add_ease">#REF!</definedName>
    <definedName name="add_hvdc">#REF!</definedName>
    <definedName name="add_subs">#REF!</definedName>
    <definedName name="add_tlan">#REF!</definedName>
    <definedName name="add_tran">#REF!</definedName>
    <definedName name="adj_admin">#REF!</definedName>
    <definedName name="adj_comm">#REF!</definedName>
    <definedName name="adj_dctl">#REF!</definedName>
    <definedName name="adj_ease">#REF!</definedName>
    <definedName name="adj_hvdc">#REF!</definedName>
    <definedName name="adj_subs">#REF!</definedName>
    <definedName name="adj_tlan">#REF!</definedName>
    <definedName name="adj_tran">#REF!</definedName>
    <definedName name="AdjustmentFactor">#REF!</definedName>
    <definedName name="admin">#REF!</definedName>
    <definedName name="admin_add">#REF!</definedName>
    <definedName name="admin1">#REF!</definedName>
    <definedName name="ADMINDEP">#REF!</definedName>
    <definedName name="ADMN">#REF!</definedName>
    <definedName name="ADMN_DEP">#REF!</definedName>
    <definedName name="admn_depret">#REF!</definedName>
    <definedName name="admn_deptrf">#REF!</definedName>
    <definedName name="ADMN_NBV">#REF!</definedName>
    <definedName name="admn_ret">#REF!</definedName>
    <definedName name="admn_trf">#REF!</definedName>
    <definedName name="admn2">#REF!</definedName>
    <definedName name="ADMN3">#REF!</definedName>
    <definedName name="admnnbv">#REF!</definedName>
    <definedName name="ADMNRET">#REF!</definedName>
    <definedName name="ADMNTRF">#REF!</definedName>
    <definedName name="AllMetals_4YrAvg">#REF!</definedName>
    <definedName name="Allocation_Sheet">#REF!</definedName>
    <definedName name="Aluminium_4YrAvg">#REF!</definedName>
    <definedName name="AMP_FY20_FY21">#REF!</definedName>
    <definedName name="AMPCat">#REF!</definedName>
    <definedName name="AMT_400KV">#REF!</definedName>
    <definedName name="Answer1">OFFSET(#REF!,0,0,SUM(#REF!),1)</definedName>
    <definedName name="ASS_CUBE">#REF!</definedName>
    <definedName name="AssetBaseIIInclude">#REF!</definedName>
    <definedName name="AssetBaseIInclude">#REF!</definedName>
    <definedName name="ATTR_CC_DESC">#REF!</definedName>
    <definedName name="AvailableReallocation">#REF!</definedName>
    <definedName name="Backup">#REF!</definedName>
    <definedName name="bb">#REF!</definedName>
    <definedName name="Bearer">#REF!</definedName>
    <definedName name="Bearer.ID">#REF!</definedName>
    <definedName name="Bill_rates">#REF!</definedName>
    <definedName name="BillRange">#REF!</definedName>
    <definedName name="Bond_rates">#REF!</definedName>
    <definedName name="Bond_spread">#REF!</definedName>
    <definedName name="Budget">#REF!</definedName>
    <definedName name="Budget_name">#REF!</definedName>
    <definedName name="Budget_period">#REF!</definedName>
    <definedName name="BUDGET_PERIOD_2">#REF!</definedName>
    <definedName name="BUDGET_PREVIOUS">#REF!</definedName>
    <definedName name="BUDGET_PREVIOUS_INFLATED">#REF!</definedName>
    <definedName name="BUDGET_UPCOMING_INFLATED">#REF!</definedName>
    <definedName name="BUDGET_UPCOMING_UNINFLATED">#REF!</definedName>
    <definedName name="BudgetAccountCodes">#REF!</definedName>
    <definedName name="budgetscenario">#REF!</definedName>
    <definedName name="BusinessPlan">#REF!</definedName>
    <definedName name="C_Mth">#REF!</definedName>
    <definedName name="cable">#REF!</definedName>
    <definedName name="cable.id">#REF!</definedName>
    <definedName name="CAPEX_Y1">#REF!</definedName>
    <definedName name="CAPEX_Y2">#REF!</definedName>
    <definedName name="CAPEX_Y3">#REF!</definedName>
    <definedName name="cc">#REF!</definedName>
    <definedName name="CCApprovals">#REF!</definedName>
    <definedName name="Che">#REF!</definedName>
    <definedName name="Checked">#REF!</definedName>
    <definedName name="Classification">#REF!</definedName>
    <definedName name="CLOSE">#REF!</definedName>
    <definedName name="Code">#REF!</definedName>
    <definedName name="COMM">#REF!</definedName>
    <definedName name="comm_add">#REF!</definedName>
    <definedName name="comm_dep">#REF!</definedName>
    <definedName name="comm_depret">#REF!</definedName>
    <definedName name="COMM_NBV">#REF!</definedName>
    <definedName name="comm_ret">#REF!</definedName>
    <definedName name="comm_trf">#REF!</definedName>
    <definedName name="comm2">#REF!</definedName>
    <definedName name="COMM3">#REF!</definedName>
    <definedName name="COMMDEP">#REF!</definedName>
    <definedName name="COMMENT1">#REF!</definedName>
    <definedName name="COMMENT2">#REF!</definedName>
    <definedName name="COMMENT3">#REF!</definedName>
    <definedName name="COMMENT4">#REF!</definedName>
    <definedName name="COMMENT5">#REF!</definedName>
    <definedName name="COMMENT6">#REF!</definedName>
    <definedName name="COMMENT7">#REF!</definedName>
    <definedName name="COMMENTS">#REF!</definedName>
    <definedName name="commnbv">#REF!</definedName>
    <definedName name="COMMRET">#REF!</definedName>
    <definedName name="comms">#REF!</definedName>
    <definedName name="Comms5">#REF!</definedName>
    <definedName name="CommsYTD5">#REF!</definedName>
    <definedName name="COMMTRF">#REF!</definedName>
    <definedName name="Completed">#REF!</definedName>
    <definedName name="Cond_RCP3">#REF!</definedName>
    <definedName name="Cond_RCP4">#REF!</definedName>
    <definedName name="Cond_RCP5">#REF!</definedName>
    <definedName name="config">#REF!</definedName>
    <definedName name="contingency">#REF!</definedName>
    <definedName name="Copper_4YrAvg">#REF!</definedName>
    <definedName name="costcentre">#REF!</definedName>
    <definedName name="Cover_Sheet">#REF!</definedName>
    <definedName name="CPI">#REF!</definedName>
    <definedName name="CPI_1011">#REF!</definedName>
    <definedName name="CPI_1112">#REF!</definedName>
    <definedName name="CPI_1213">#REF!</definedName>
    <definedName name="CPI_1314">#REF!</definedName>
    <definedName name="CPI_1415">#REF!</definedName>
    <definedName name="CPI_Index_1011">#REF!</definedName>
    <definedName name="CPI_Index_1112">#REF!</definedName>
    <definedName name="CPI_Index_1213">#REF!</definedName>
    <definedName name="CPI_Index_1314">#REF!</definedName>
    <definedName name="CPI_Index_1415">#REF!</definedName>
    <definedName name="Created_by">#REF!</definedName>
    <definedName name="CT_rate">#REF!</definedName>
    <definedName name="Cube">#REF!</definedName>
    <definedName name="Cube1">#REF!</definedName>
    <definedName name="CUBE2">#REF!</definedName>
    <definedName name="Cube3">#REF!</definedName>
    <definedName name="Current_Forecast">#REF!</definedName>
    <definedName name="Current_Month">#REF!</definedName>
    <definedName name="Current_Month_Full">#REF!</definedName>
    <definedName name="Current_Month_TM1">#REF!</definedName>
    <definedName name="current_month1">#REF!</definedName>
    <definedName name="CURRENT_PERIOD">#REF!</definedName>
    <definedName name="CURRENT_PERIOD_MMM_YY">#REF!</definedName>
    <definedName name="Current_year">#REF!</definedName>
    <definedName name="Current_year_6mth">#REF!</definedName>
    <definedName name="Current_year1">#REF!</definedName>
    <definedName name="Current_YTD">#REF!</definedName>
    <definedName name="Current_YTD_TM1">#REF!</definedName>
    <definedName name="currentmonth">#REF!</definedName>
    <definedName name="CurrYr">0</definedName>
    <definedName name="dat">#REF!</definedName>
    <definedName name="data">#REF!</definedName>
    <definedName name="Date_Created">#REF!</definedName>
    <definedName name="Date_EscalationBase">#REF!</definedName>
    <definedName name="Date_ModelStart">#REF!</definedName>
    <definedName name="Date_YearStart">#REF!</definedName>
    <definedName name="Date2Day">#REF!</definedName>
    <definedName name="DCLADEP">#REF!</definedName>
    <definedName name="DCLADEP1">#REF!</definedName>
    <definedName name="DCLADEP2">#REF!</definedName>
    <definedName name="DCTL">#REF!</definedName>
    <definedName name="dctl_add">#REF!</definedName>
    <definedName name="DCTL_DEP">#REF!</definedName>
    <definedName name="DCTL_DEPRET">#REF!</definedName>
    <definedName name="DCTL_DEPTRF">#REF!</definedName>
    <definedName name="DCTL_NBV">#REF!</definedName>
    <definedName name="dctl_ret">#REF!</definedName>
    <definedName name="dctl_trf">#REF!</definedName>
    <definedName name="dctl_trf1">#REF!</definedName>
    <definedName name="DCTL1">#REF!</definedName>
    <definedName name="dctl2">#REF!</definedName>
    <definedName name="DCTL3">#REF!</definedName>
    <definedName name="DCTLDEP">#REF!</definedName>
    <definedName name="dctlnbv">#REF!</definedName>
    <definedName name="DCTLRET">#REF!</definedName>
    <definedName name="DCTLTRF">#REF!</definedName>
    <definedName name="dcyphamth">#REF!</definedName>
    <definedName name="dcyphaytd">#REF!</definedName>
    <definedName name="DECNBV">#REF!</definedName>
    <definedName name="dep">#REF!</definedName>
    <definedName name="dep_admin">#REF!</definedName>
    <definedName name="dep_comm">#REF!</definedName>
    <definedName name="dep_dctl">#REF!</definedName>
    <definedName name="dep_deptrf">#REF!</definedName>
    <definedName name="dep_hvdc">#REF!</definedName>
    <definedName name="Dep_Rates">#REF!</definedName>
    <definedName name="dep_subs">#REF!</definedName>
    <definedName name="dep_tlan">#REF!</definedName>
    <definedName name="dep_tran">#REF!</definedName>
    <definedName name="depn">#REF!</definedName>
    <definedName name="Dept">#REF!</definedName>
    <definedName name="Details">#REF!</definedName>
    <definedName name="Dim">#REF!</definedName>
    <definedName name="DIM_CC">#REF!</definedName>
    <definedName name="DIM_DIVISION">#REF!</definedName>
    <definedName name="DIM_PERIOD">#REF!</definedName>
    <definedName name="dist">#REF!</definedName>
    <definedName name="DIVISION">#REF!</definedName>
    <definedName name="DivisionB">#REF!</definedName>
    <definedName name="dropdowns_todo">#REF!</definedName>
    <definedName name="durations">#REF!</definedName>
    <definedName name="e">#REF!</definedName>
    <definedName name="EASE">#REF!</definedName>
    <definedName name="EASE_NBV">#REF!</definedName>
    <definedName name="easenbv">#REF!</definedName>
    <definedName name="EBIT">#REF!</definedName>
    <definedName name="EDB_Name">#REF!</definedName>
    <definedName name="Effect">#REF!</definedName>
    <definedName name="EMPs">#REF!</definedName>
    <definedName name="er">#REF!</definedName>
    <definedName name="Escalation">#REF!</definedName>
    <definedName name="EXCLUSIONS">OFFSET(#REF!,0,0,COUNTA(#REF!),1)</definedName>
    <definedName name="Exec_Sum">#REF!</definedName>
    <definedName name="Exp">#REF!</definedName>
    <definedName name="FEC">#REF!</definedName>
    <definedName name="fibre">#REF!</definedName>
    <definedName name="fibre.pairs">#REF!</definedName>
    <definedName name="fibre.size">#REF!</definedName>
    <definedName name="fibrep">#REF!</definedName>
    <definedName name="Figure_2.2">#REF!</definedName>
    <definedName name="Figure_X1">#REF!</definedName>
    <definedName name="Financials_Sheet">#REF!</definedName>
    <definedName name="finish">#REF!</definedName>
    <definedName name="FORECAST_CURRENT">#REF!</definedName>
    <definedName name="Forecast_Month">#REF!</definedName>
    <definedName name="FORECAST_SCENARIO">#REF!</definedName>
    <definedName name="FORECAST_SCENARIO2">#REF!</definedName>
    <definedName name="forecastcube">#REF!</definedName>
    <definedName name="forecastscenario">#REF!</definedName>
    <definedName name="formula">#REF!</definedName>
    <definedName name="FrontMonth">#REF!</definedName>
    <definedName name="FullProjectBaseCon">#REF!</definedName>
    <definedName name="FULLYEAR">#REF!</definedName>
    <definedName name="fullyearratios">#REF!</definedName>
    <definedName name="Funding_Source">#REF!</definedName>
    <definedName name="g">#REF!</definedName>
    <definedName name="ghh">#REF!</definedName>
    <definedName name="GL">#REF!</definedName>
    <definedName name="GRAPH_ACT">#REF!:OFFSET(#REF!,0,GRAPH_LENGTH)</definedName>
    <definedName name="GRAPH_AXIS">#REF!:OFFSET(#REF!,0,GRAPH_LENGTH)</definedName>
    <definedName name="GRAPH_CBUD">#REF!:OFFSET(#REF!,0,GRAPH_LENGTH)</definedName>
    <definedName name="GRAPH_FEC">#REF!:OFFSET(#REF!,0,GRAPH_LENGTH)</definedName>
    <definedName name="GRAPH_LENGTH">#REF!</definedName>
    <definedName name="GRAPH_OBUD">#REF!:OFFSET(#REF!,0,GRAPH_LENGTH)</definedName>
    <definedName name="Hdays">#REF!</definedName>
    <definedName name="HiY">#REF!</definedName>
    <definedName name="hj">#REF!</definedName>
    <definedName name="HOL">#REF!</definedName>
    <definedName name="HVDC">#REF!</definedName>
    <definedName name="hvdc_add">#REF!</definedName>
    <definedName name="HVDC_DEP">#REF!</definedName>
    <definedName name="HVDC_DEPRET">#REF!</definedName>
    <definedName name="HVDC_NBV">#REF!</definedName>
    <definedName name="hvdc_ret">#REF!</definedName>
    <definedName name="hvdc_trf">#REF!</definedName>
    <definedName name="HVDC1">#REF!</definedName>
    <definedName name="hvdc2">#REF!</definedName>
    <definedName name="HVDC3">#REF!</definedName>
    <definedName name="HVDC5">#REF!</definedName>
    <definedName name="HVDCDEP">#REF!</definedName>
    <definedName name="hvdcnbv">#REF!</definedName>
    <definedName name="HVDCRET">#REF!</definedName>
    <definedName name="HVDCYTD5">#REF!</definedName>
    <definedName name="ID" localSheetId="4" hidden="1">"359d19be-757c-43fc-858f-26c906e8a7f6"</definedName>
    <definedName name="ID" localSheetId="15" hidden="1">"9c0820d3-d568-49fc-b98a-82fbb8b3a832"</definedName>
    <definedName name="ID" localSheetId="16" hidden="1">"846ff23d-4568-48fa-8787-fb2d3f51e4bf"</definedName>
    <definedName name="ID" localSheetId="17" hidden="1">"3c49270d-1c45-4f04-84eb-060ff52c93fd"</definedName>
    <definedName name="ID" localSheetId="19" hidden="1">"552439f4-db5b-4e22-bb3a-7e27725561ff"</definedName>
    <definedName name="ID" localSheetId="20" hidden="1">"60d63293-1bbe-4278-ac7c-fb6834eacce0"</definedName>
    <definedName name="ID" localSheetId="22" hidden="1">"916ac911-2d20-42f1-b9d9-7581a1959749"</definedName>
    <definedName name="ID" localSheetId="23" hidden="1">"69e023c8-d70c-44c1-87bc-1ba78820b70a"</definedName>
    <definedName name="ID" localSheetId="24" hidden="1">"5e5e47d7-d899-489e-a0b6-dc5e1e2dd697"</definedName>
    <definedName name="ID" localSheetId="6" hidden="1">"c72307aa-6237-4b84-87a5-057d3ed91988"</definedName>
    <definedName name="ID" localSheetId="7" hidden="1">"e67189bf-376c-4a93-8264-56b02a40d69e"</definedName>
    <definedName name="ID" localSheetId="8" hidden="1">"ebc2c4da-a0cb-44d1-8226-bb0ad3c35a68"</definedName>
    <definedName name="ID" localSheetId="9" hidden="1">"d6eec505-892e-4e28-9f0a-6dddb4b07721"</definedName>
    <definedName name="ID" localSheetId="11" hidden="1">"40e1ecd6-3c08-41d3-a2a2-5765e941c146"</definedName>
    <definedName name="ID" localSheetId="12" hidden="1">"1ef33ba9-8fe0-4d46-aedd-c358e7f60012"</definedName>
    <definedName name="ID" localSheetId="13" hidden="1">"91b9ae24-484e-4ae7-b221-51f505c01531"</definedName>
    <definedName name="ID" localSheetId="14" hidden="1">"9059297b-5f8b-4352-9156-7b79d219021a"</definedName>
    <definedName name="ID" localSheetId="21" hidden="1">"ee9753ee-fdad-4292-aef9-c12b97a3e86b"</definedName>
    <definedName name="ID" localSheetId="2" hidden="1">"c40e9c42-064d-4978-86ed-6a61e5569c0e"</definedName>
    <definedName name="ID" localSheetId="10" hidden="1">"0b200710-cb12-4c4d-bca0-d92bb7428d8f"</definedName>
    <definedName name="ID" localSheetId="0" hidden="1">"3a2c4ce7-e8b8-4035-adde-f42765aead89"</definedName>
    <definedName name="ID" localSheetId="1" hidden="1">"6aaa0978-0222-4eaa-99b9-e319918c03e0"</definedName>
    <definedName name="ID" localSheetId="18" hidden="1">"41ae6df1-ad40-4fe7-98f1-c44c2fafb9ab"</definedName>
    <definedName name="ID" localSheetId="5" hidden="1">"b7c9d38e-bc22-43c8-b575-f4ed4f11508e"</definedName>
    <definedName name="ID" localSheetId="3" hidden="1">"ae44ca3a-5b0a-472c-82c0-34aaa2448f11"</definedName>
    <definedName name="ID_400KV">#REF!</definedName>
    <definedName name="ID_CHK">#REF!</definedName>
    <definedName name="Incentive_rate">#REF!</definedName>
    <definedName name="Include">#REF!</definedName>
    <definedName name="IncludeExclude">#REF!</definedName>
    <definedName name="Index">#REF!</definedName>
    <definedName name="Index_1011">#REF!</definedName>
    <definedName name="Index_1112">#REF!</definedName>
    <definedName name="Index_1213">#REF!</definedName>
    <definedName name="Index_1314">#REF!</definedName>
    <definedName name="Index_1415">#REF!</definedName>
    <definedName name="Indiv_Data">#REF!</definedName>
    <definedName name="IndoorCBAllocation">#REF!</definedName>
    <definedName name="Input_Sheet">#REF!</definedName>
    <definedName name="Inputs">#REF!</definedName>
    <definedName name="INTG">#REF!</definedName>
    <definedName name="intg2">#REF!</definedName>
    <definedName name="INTG3">#REF!</definedName>
    <definedName name="INTGDEP">#REF!</definedName>
    <definedName name="IntgraphdataMPSMar08Ch4and5">#REF!</definedName>
    <definedName name="Introduction">#REF!</definedName>
    <definedName name="InverseCPI0910">#REF!</definedName>
    <definedName name="InverseCPI1011">#REF!</definedName>
    <definedName name="InverseCPI1112">#REF!</definedName>
    <definedName name="InverseCPI1314">#REF!</definedName>
    <definedName name="InverseCPI1415">#REF!</definedName>
    <definedName name="InvestmentArea">#REF!</definedName>
    <definedName name="InvestmentCategory">#REF!</definedName>
    <definedName name="InvestmentTheme">#REF!</definedName>
    <definedName name="InvestmentType">#REF!</definedName>
    <definedName name="ITTmth">#REF!</definedName>
    <definedName name="ittytd">#REF!</definedName>
    <definedName name="ITTYTD3">#REF!</definedName>
    <definedName name="jkh">#REF!</definedName>
    <definedName name="KEY">#REF!</definedName>
    <definedName name="KWp">#REF!</definedName>
    <definedName name="L4MGR">#REF!</definedName>
    <definedName name="L5MGR">#REF!</definedName>
    <definedName name="Likelihood">#REF!</definedName>
    <definedName name="line_of_business">#REF!</definedName>
    <definedName name="lk">#REF!</definedName>
    <definedName name="ln">#REF!</definedName>
    <definedName name="Load">#REF!</definedName>
    <definedName name="LoadMid">#REF!</definedName>
    <definedName name="LOB">#REF!</definedName>
    <definedName name="location">#REF!</definedName>
    <definedName name="Look">#REF!</definedName>
    <definedName name="Lookup_Assets">#REF!</definedName>
    <definedName name="Lookup_Escalation">#REF!</definedName>
    <definedName name="Lookup_Prices">#REF!</definedName>
    <definedName name="Lookup_Prices_Manual">#REF!</definedName>
    <definedName name="Lookup_Spend">#REF!</definedName>
    <definedName name="Lookup_Volumes">#REF!</definedName>
    <definedName name="Lookup_Volumes_Manual">#REF!</definedName>
    <definedName name="LookupIndex">#REF!</definedName>
    <definedName name="MAC">#REF!</definedName>
    <definedName name="Maj">#REF!</definedName>
    <definedName name="majorassets">#REF!</definedName>
    <definedName name="map">#REF!</definedName>
    <definedName name="MAPPING">#REF!</definedName>
    <definedName name="MasterCheck_Calculations">#REF!</definedName>
    <definedName name="MasterCheck_Calculations1">#REF!</definedName>
    <definedName name="MasterCheck_Inputs">#REF!</definedName>
    <definedName name="MasterCheck_Inputs1">#REF!</definedName>
    <definedName name="MasterCheck_Outputs">#REF!</definedName>
    <definedName name="MasterCheck_Outputs1">#REF!</definedName>
    <definedName name="MFAMthly">#REF!</definedName>
    <definedName name="MFAYTD">#REF!</definedName>
    <definedName name="Mgmt_Reports">#REF!</definedName>
    <definedName name="MGR">#REF!</definedName>
    <definedName name="MiY">#REF!</definedName>
    <definedName name="MODELDATE">#REF!</definedName>
    <definedName name="MONTH">#REF!</definedName>
    <definedName name="MonthNames">#REF!</definedName>
    <definedName name="Months">#REF!</definedName>
    <definedName name="MSP_Assets">#REF!</definedName>
    <definedName name="MthActual4">#REF!</definedName>
    <definedName name="MthPlan4">#REF!</definedName>
    <definedName name="Name">#REF!</definedName>
    <definedName name="nbv_admin">#REF!</definedName>
    <definedName name="nbv_comm">#REF!</definedName>
    <definedName name="nbv_dctl">#REF!</definedName>
    <definedName name="nbv_hvdc">#REF!</definedName>
    <definedName name="nbv_subs">#REF!</definedName>
    <definedName name="nbv_tran">#REF!</definedName>
    <definedName name="NBVDEC">#REF!</definedName>
    <definedName name="new">#REF!</definedName>
    <definedName name="NN">#REF!</definedName>
    <definedName name="no">#REF!</definedName>
    <definedName name="NvsAnswerCol">"[ZTY_110.xls]Sheet1!$A$4:$A$1943"</definedName>
    <definedName name="NvsAnswerCol_1">"[Drill1]JRNLLAYOUT!$A$4:$A$2917"</definedName>
    <definedName name="NvsASD">"V2016-06-30"</definedName>
    <definedName name="NvsASD_1">"V2016-06-30"</definedName>
    <definedName name="NvsASD_2">"V2012-03-31"</definedName>
    <definedName name="NvsAutoDrillOk">"VN"</definedName>
    <definedName name="NvsDateToNumber">"Y"</definedName>
    <definedName name="NvsElapsedTime">0.000150462961755693</definedName>
    <definedName name="NvsElapsedTime_1">0.000150462961755693</definedName>
    <definedName name="NvsElapsedTime_2">0.000416666662204079</definedName>
    <definedName name="NvsEndTime">42562.3682986111</definedName>
    <definedName name="NvsEndTime_1">42562.3682986111</definedName>
    <definedName name="NvsEndTime_2">39300.7808333333</definedName>
    <definedName name="NvsInstLang">"VENG"</definedName>
    <definedName name="NvsInstSpec">"%"</definedName>
    <definedName name="NvsInstSpec_1">"%"</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NplSpec_1">"%,X,RZT.ACCOUNT.,CZF.BUSINESS_UNIT."</definedName>
    <definedName name="NvsPanelBusUnit">"V"</definedName>
    <definedName name="NvsPanelEffdt">"V1900-01-01"</definedName>
    <definedName name="NvsPanelEffdt_1">"V1900-01-01"</definedName>
    <definedName name="NvsPanelSetid">"VTPG"</definedName>
    <definedName name="NvsParentRef">#REF!</definedName>
    <definedName name="NvsReqBU">"VTPGE"</definedName>
    <definedName name="NvsReqBU_1">"VTPGE"</definedName>
    <definedName name="NvsReqBUOnly">"VN"</definedName>
    <definedName name="NvsReqBUOnly_1">"VN"</definedName>
    <definedName name="NvsTransLed">"VN"</definedName>
    <definedName name="NvsTreeASD">"V2016-06-30"</definedName>
    <definedName name="NvsTreeASD_1">"V2016-06-30"</definedName>
    <definedName name="NvsTreeASD_2">"V2012-03-31"</definedName>
    <definedName name="NvsValTbl.ACCOUNT">"GL_ACCOUNT_TBL"</definedName>
    <definedName name="NvsValTbl.BUSINESS_UNIT">"BUS_UNIT_TBL_FS"</definedName>
    <definedName name="NvsValTbl.DEPTID">"DEPT_TBL"</definedName>
    <definedName name="NvsValTbl.SCENARIO">"BD_SCENARIO_TBL"</definedName>
    <definedName name="OfficeList">#REF!</definedName>
    <definedName name="OnOff">#REF!</definedName>
    <definedName name="OPEX_Y1">#REF!</definedName>
    <definedName name="OPEX_Y2">#REF!</definedName>
    <definedName name="OPEX_Y3">#REF!</definedName>
    <definedName name="outcome">#REF!</definedName>
    <definedName name="Outputs">#REF!</definedName>
    <definedName name="Owner">#REF!</definedName>
    <definedName name="Ownership">#REF!</definedName>
    <definedName name="P11_2021_pos_no">#REF!</definedName>
    <definedName name="PAC">#REF!</definedName>
    <definedName name="page\x2dtotal">#REF!</definedName>
    <definedName name="page\x2dtotal\x2dmaster0">#REF!</definedName>
    <definedName name="Pal_Workbook_GUID" hidden="1">"6S1JHEHENLE191V518WIWCLK"</definedName>
    <definedName name="PCDOCS">#REF!</definedName>
    <definedName name="PD_FY">#REF!</definedName>
    <definedName name="PD_YTD">#REF!</definedName>
    <definedName name="PERIOD">#REF!</definedName>
    <definedName name="PERIOD_INDEX">#REF!</definedName>
    <definedName name="PERIOD_LATEST">#REF!</definedName>
    <definedName name="Periodicity">#REF!</definedName>
    <definedName name="pete">#REF!</definedName>
    <definedName name="peteh">#REF!</definedName>
    <definedName name="PFM_CC">#REF!</definedName>
    <definedName name="Physicals_Sheet">#REF!</definedName>
    <definedName name="PL_AMT">#REF!</definedName>
    <definedName name="PL_KEY">#REF!</definedName>
    <definedName name="PlanYTD4">#REF!</definedName>
    <definedName name="PMDLValue">#REF!</definedName>
    <definedName name="Policy_Limit">#REF!</definedName>
    <definedName name="policylimit">#REF!</definedName>
    <definedName name="prevyeartodate">#REF!</definedName>
    <definedName name="_xlnm.Print_Area" localSheetId="4">'1_Inputs'!$B$2:$N$34</definedName>
    <definedName name="_xlnm.Print_Area" localSheetId="15">'10_EVAccount'!$B$2:$L$45</definedName>
    <definedName name="_xlnm.Print_Area" localSheetId="16">'11_Pass-Through&amp;Recoverables'!$B$2:$G$37</definedName>
    <definedName name="_xlnm.Print_Area" localSheetId="17">'12_Tax'!$B$2:$F$40</definedName>
    <definedName name="_xlnm.Print_Area" localSheetId="19">'13_RevenueLinkedQualityMeasures'!$B$2:$J$33</definedName>
    <definedName name="_xlnm.Print_Area" localSheetId="20">'14_QualityStandards'!$B$2:$N$141</definedName>
    <definedName name="_xlnm.Print_Area" localSheetId="22">'15_Events-AP&amp;AH'!$B$2:$G$25</definedName>
    <definedName name="_xlnm.Print_Area" localSheetId="23">'16_CustomerMeasures'!$B$2:$I$56</definedName>
    <definedName name="_xlnm.Print_Area" localSheetId="24">'17_QualityStandards-AddInfo'!$B$2:$K$68</definedName>
    <definedName name="_xlnm.Print_Area" localSheetId="6">'2_Revenue'!$B$2:$L$35</definedName>
    <definedName name="_xlnm.Print_Area" localSheetId="7">'3_RevenueBuildingBlocks'!$A$1:$K$89</definedName>
    <definedName name="_xlnm.Print_Area" localSheetId="8">'4_RAB'!$B$2:$F$85</definedName>
    <definedName name="_xlnm.Print_Area" localSheetId="9">'5_BaseCapexAllowance'!$B$2:$J$49</definedName>
    <definedName name="_xlnm.Print_Area" localSheetId="11">'6_BaseCapexDisparitiesAdj'!$B$2:$K$71</definedName>
    <definedName name="_xlnm.Print_Area" localSheetId="12">'7_Base&amp;MajorCapexAdj'!$B$2:$H$58</definedName>
    <definedName name="_xlnm.Print_Area" localSheetId="13">'8_OpexAllowance'!$B$2:$J$30</definedName>
    <definedName name="_xlnm.Print_Area" localSheetId="14">'9_Opex'!$B$2:$K$54</definedName>
    <definedName name="_xlnm.Print_Area" localSheetId="2">'Assurance Report'!$B$2:$R$41</definedName>
    <definedName name="_xlnm.Print_Area" localSheetId="0">Cover!$A$1:$I$20</definedName>
    <definedName name="_xlnm.Print_Area" localSheetId="1">'Directors Certificate'!$B$2:$L$57</definedName>
    <definedName name="_xlnm.Print_Area" localSheetId="3">'Table of Contents'!$A$1:$E$117</definedName>
    <definedName name="_xlnm.Print_Titles" localSheetId="4">'1_Inputs'!$2:$3</definedName>
    <definedName name="_xlnm.Print_Titles" localSheetId="15">'10_EVAccount'!$2:$3</definedName>
    <definedName name="_xlnm.Print_Titles" localSheetId="16">'11_Pass-Through&amp;Recoverables'!$2:$3</definedName>
    <definedName name="_xlnm.Print_Titles" localSheetId="20">'14_QualityStandards'!$2:$3</definedName>
    <definedName name="_xlnm.Print_Titles" localSheetId="22">'15_Events-AP&amp;AH'!$2:$3</definedName>
    <definedName name="_xlnm.Print_Titles" localSheetId="23">'16_CustomerMeasures'!$2:$3</definedName>
    <definedName name="_xlnm.Print_Titles" localSheetId="24">'17_QualityStandards-AddInfo'!$2:$4</definedName>
    <definedName name="_xlnm.Print_Titles" localSheetId="7">'3_RevenueBuildingBlocks'!$2:$3</definedName>
    <definedName name="_xlnm.Print_Titles" localSheetId="8">'4_RAB'!$2:$3</definedName>
    <definedName name="_xlnm.Print_Titles" localSheetId="9">'5_BaseCapexAllowance'!$2:$3</definedName>
    <definedName name="_xlnm.Print_Titles" localSheetId="11">'6_BaseCapexDisparitiesAdj'!$2:$3</definedName>
    <definedName name="_xlnm.Print_Titles" localSheetId="12">'7_Base&amp;MajorCapexAdj'!$2:$3</definedName>
    <definedName name="_xlnm.Print_Titles" localSheetId="13">'8_OpexAllowance'!$2:$3</definedName>
    <definedName name="_xlnm.Print_Titles" localSheetId="14">'9_Opex'!$2:$3</definedName>
    <definedName name="Prior_year">#REF!</definedName>
    <definedName name="Prior_year_end">#REF!</definedName>
    <definedName name="Priority">#REF!</definedName>
    <definedName name="Procedural">#REF!</definedName>
    <definedName name="PROFILE">#REF!</definedName>
    <definedName name="PTD_ACT">#REF!</definedName>
    <definedName name="PTD_BUD">#REF!</definedName>
    <definedName name="Purpose">#REF!</definedName>
    <definedName name="QiY">#REF!</definedName>
    <definedName name="R_INFL">#REF!</definedName>
    <definedName name="RCP2_SCENARIO">#REF!</definedName>
    <definedName name="RCP2_SCENARIO_FTE">#REF!</definedName>
    <definedName name="RCP3_growth">#REF!</definedName>
    <definedName name="RCP3_Range">#REF!</definedName>
    <definedName name="RCP4_growth">#REF!</definedName>
    <definedName name="RCP5_growth">#REF!</definedName>
    <definedName name="RCP6_growth">#REF!</definedName>
    <definedName name="RDATE">#REF!</definedName>
    <definedName name="Real">#REF!</definedName>
    <definedName name="Reallocated">#REF!</definedName>
    <definedName name="RealNominal">#REF!</definedName>
    <definedName name="Recoder">#REF!</definedName>
    <definedName name="_xlnm.Recorder">#REF!</definedName>
    <definedName name="Regions">#REF!</definedName>
    <definedName name="Remedial">#REF!</definedName>
    <definedName name="REPORT">#REF!</definedName>
    <definedName name="REPORT_PAGE">#REF!</definedName>
    <definedName name="REPORTING_MONTH">#REF!</definedName>
    <definedName name="Reporting_Programme">#REF!</definedName>
    <definedName name="REPORTING_YEAR">#REF!</definedName>
    <definedName name="reserves">#REF!</definedName>
    <definedName name="RESOURCES">#REF!</definedName>
    <definedName name="Results">#REF!</definedName>
    <definedName name="ResultsPg1">#REF!</definedName>
    <definedName name="ret">#REF!</definedName>
    <definedName name="ret_adj">#REF!</definedName>
    <definedName name="ret_comm">#REF!</definedName>
    <definedName name="ret_dctl">#REF!</definedName>
    <definedName name="ret_ease">#REF!</definedName>
    <definedName name="ret_hvdc">#REF!</definedName>
    <definedName name="ret_subs">#REF!</definedName>
    <definedName name="ret_tlan">#REF!</definedName>
    <definedName name="ret_tran">#REF!</definedName>
    <definedName name="Rev_Stream">#REF!</definedName>
    <definedName name="rgCode">#REF!</definedName>
    <definedName name="rgExtRates">#REF!</definedName>
    <definedName name="rgIntRates">#REF!</definedName>
    <definedName name="RiskAfterRecalcMacro" hidden="1">""</definedName>
    <definedName name="RiskAfterSimMacro" hidden="1">""</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HasSettings_1" hidden="1">5</definedName>
    <definedName name="RiskHasSettings_1_1"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Server">#REF!</definedName>
    <definedName name="Rounding">#REF!</definedName>
    <definedName name="Rounding_ErrorCheck">#REF!</definedName>
    <definedName name="rTranPlantLookup">#REF!</definedName>
    <definedName name="rTranPlantRates">#REF!</definedName>
    <definedName name="sce">#REF!</definedName>
    <definedName name="scenario">#REF!</definedName>
    <definedName name="Scenario_1">#REF!</definedName>
    <definedName name="Scenario_1_period">#REF!</definedName>
    <definedName name="Scenario_2">#REF!</definedName>
    <definedName name="Scenario_2_name">#REF!</definedName>
    <definedName name="Scenario_2_period">#REF!</definedName>
    <definedName name="Scenario_3">#REF!</definedName>
    <definedName name="Scenario_3_Name">#REF!</definedName>
    <definedName name="Scenario_3_Period">#REF!</definedName>
    <definedName name="Scenario_4">#REF!</definedName>
    <definedName name="Scenario_4_Name">#REF!</definedName>
    <definedName name="Scenario_4_Period">#REF!</definedName>
    <definedName name="Scenario_name">#REF!</definedName>
    <definedName name="Scenario_period">#REF!</definedName>
    <definedName name="Scenario1">#REF!</definedName>
    <definedName name="Scenario2">#REF!</definedName>
    <definedName name="Scenario3">#REF!</definedName>
    <definedName name="Scenario4">#REF!</definedName>
    <definedName name="scenario5">#REF!</definedName>
    <definedName name="sdf">#REF!</definedName>
    <definedName name="SEASONAL">#REF!</definedName>
    <definedName name="SelectedMonthIndex">#REF!</definedName>
    <definedName name="SelectedYearIndex">#REF!</definedName>
    <definedName name="SERVAREA">#REF!</definedName>
    <definedName name="SERVER">#REF!</definedName>
    <definedName name="SERVER_TWO">#REF!</definedName>
    <definedName name="service">#REF!</definedName>
    <definedName name="service.list">#REF!</definedName>
    <definedName name="ServiceCodes">#REF!</definedName>
    <definedName name="SFIR">#REF!</definedName>
    <definedName name="Sign_off_date">#REF!</definedName>
    <definedName name="SimOpt_CheckPrecisionAfter" hidden="1">100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5000000</definedName>
    <definedName name="SimOpt_RefreshExcel" hidden="1">0</definedName>
    <definedName name="SimOpt_RefreshRate" hidden="1">10</definedName>
    <definedName name="SimOpt_SamplesCount" hidden="1">5000</definedName>
    <definedName name="SimOpt_Seed0" hidden="1">0</definedName>
    <definedName name="SimOpt_SeedFixed" hidden="1">0</definedName>
    <definedName name="SimOpt_SeedMultiplyType" hidden="1">0</definedName>
    <definedName name="SimOpt_ShowResultsAtEnd" hidden="1">1</definedName>
    <definedName name="SimOpt_SimName0" hidden="1">""</definedName>
    <definedName name="SimOpt_SimsCount" hidden="1">1</definedName>
    <definedName name="SimOpt_StopOnOutputError" hidden="1">0</definedName>
    <definedName name="Sites">#REF!</definedName>
    <definedName name="sites.use">#REF!</definedName>
    <definedName name="SL010C01ELEMS_01">"Full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010C01FMTNM">"dyn inc years"</definedName>
    <definedName name="SL010C01HND">287266265</definedName>
    <definedName name="SL0111FMTNM">213012976</definedName>
    <definedName name="SL011C01ELEMS_01">"Full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011C01FMTNM">"dyn inc years"</definedName>
    <definedName name="SL011C01HND">287266265</definedName>
    <definedName name="SL011EXPANDUP">"new P&amp;L years"</definedName>
    <definedName name="SL011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01C01HND">-1</definedName>
    <definedName name="SL01R01HND">-1</definedName>
    <definedName name="SL01R02HND">-1</definedName>
    <definedName name="SL01VIEWHND">-1</definedName>
    <definedName name="SL02R01HND">-1</definedName>
    <definedName name="SL02R02HND">-1</definedName>
    <definedName name="SL02VIEWHND">-1</definedName>
    <definedName name="SL03R01HND">-1</definedName>
    <definedName name="SL03R02HND">-1</definedName>
    <definedName name="SL03VIEWHND">-1</definedName>
    <definedName name="SL04R01HND">-1</definedName>
    <definedName name="SL04R02HND">-1</definedName>
    <definedName name="SL04VIEWHND">-1</definedName>
    <definedName name="SL05R01HND">-1</definedName>
    <definedName name="SL05R02HND">-1</definedName>
    <definedName name="SL05VIEWHND">-1</definedName>
    <definedName name="SL06R01HND">-1</definedName>
    <definedName name="SL06R02HND">-1</definedName>
    <definedName name="SL06VIEWHND">-1</definedName>
    <definedName name="SL07R01HND">-1</definedName>
    <definedName name="SL07R02HND">-1</definedName>
    <definedName name="SL07VIEWHND">-1</definedName>
    <definedName name="SL08R01HND">-1</definedName>
    <definedName name="SL08R02HND">-1</definedName>
    <definedName name="SL08VIEWHND">-1</definedName>
    <definedName name="SL09R01HND">-1</definedName>
    <definedName name="SL09R02HND">-1</definedName>
    <definedName name="SL09VIEWHND">-1</definedName>
    <definedName name="SL10R01HND">-1</definedName>
    <definedName name="SL10R02HND">-1</definedName>
    <definedName name="SL10VIEWHND">-1</definedName>
    <definedName name="SL11R01HND">-1</definedName>
    <definedName name="SL11R02HND">-1</definedName>
    <definedName name="SL11VIEWHND">-1</definedName>
    <definedName name="SL121FMTNM">213012976</definedName>
    <definedName name="SL12ELEMS_01">"new P&amp;L years"</definedName>
    <definedName name="SL12EXPANDUP">"new P&amp;L years"</definedName>
    <definedName name="SL12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2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2PANDUP">213012976</definedName>
    <definedName name="SL12R01HND">-1</definedName>
    <definedName name="SL12R02HND">-1</definedName>
    <definedName name="SL12VIEWHND">-1</definedName>
    <definedName name="SL131FMTNM">213012976</definedName>
    <definedName name="SL13ELEMS_01">"new P&amp;L years"</definedName>
    <definedName name="SL13EXPANDUP">"new P&amp;L years"</definedName>
    <definedName name="SL13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3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3PANDUP">213012976</definedName>
    <definedName name="SL13R01HND">-1</definedName>
    <definedName name="SL13R02HND">-1</definedName>
    <definedName name="SL13VIEWHND">-1</definedName>
    <definedName name="SL141FMTNM">213012976</definedName>
    <definedName name="SL14ELEMS_01">"new P&amp;L years"</definedName>
    <definedName name="SL14EXPANDUP">"new P&amp;L years"</definedName>
    <definedName name="SL14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4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4PANDUP">213012976</definedName>
    <definedName name="SL14R01HND">-1</definedName>
    <definedName name="SL14R02HND">-1</definedName>
    <definedName name="SL14VIEWHND">-1</definedName>
    <definedName name="SL151FMTNM">213012976</definedName>
    <definedName name="SL15ELEMS_01">"new P&amp;L years"</definedName>
    <definedName name="SL15EXPANDUP">"new P&amp;L years"</definedName>
    <definedName name="SL15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5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5PANDUP">213012976</definedName>
    <definedName name="SL15R01HND">-1</definedName>
    <definedName name="SL15R02HND">-1</definedName>
    <definedName name="SL15VIEWHND">-1</definedName>
    <definedName name="SL161FMTNM">213012976</definedName>
    <definedName name="SL16ELEMS_01">"new P&amp;L years"</definedName>
    <definedName name="SL16EXPANDUP">"new P&amp;L years"</definedName>
    <definedName name="SL16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6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6PANDUP">213012976</definedName>
    <definedName name="SL16R01HND">-1</definedName>
    <definedName name="SL16R02HND">-1</definedName>
    <definedName name="SL16VIEWHND">-1</definedName>
    <definedName name="SL171FMTNM">213012976</definedName>
    <definedName name="SL17ELEMS_01">"new P&amp;L years"</definedName>
    <definedName name="SL17EXPANDUP">"new P&amp;L years"</definedName>
    <definedName name="SL17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7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7PANDUP">213012976</definedName>
    <definedName name="SL17R01HND">-1</definedName>
    <definedName name="SL17R02HND">-1</definedName>
    <definedName name="SL17VIEWHND">-1</definedName>
    <definedName name="SL181FMTNM">213012976</definedName>
    <definedName name="SL18ELEMS_01">"new P&amp;L years"</definedName>
    <definedName name="SL18EXPANDUP">"new P&amp;L years"</definedName>
    <definedName name="SL18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8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8PANDUP">213012976</definedName>
    <definedName name="SL18R01HND">-1</definedName>
    <definedName name="SL18R02HND">-1</definedName>
    <definedName name="SL18VIEWHND">-1</definedName>
    <definedName name="SL191FMTNM">213012976</definedName>
    <definedName name="SL19ELEMS_01">"new P&amp;L years"</definedName>
    <definedName name="SL19EXPANDUP">"new P&amp;L years"</definedName>
    <definedName name="SL19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9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19PANDUP">213012976</definedName>
    <definedName name="SL19R01HND">-1</definedName>
    <definedName name="SL19R02HND">-1</definedName>
    <definedName name="SL19VIEWHND">-1</definedName>
    <definedName name="SL201FMTNM">213012976</definedName>
    <definedName name="SL20ELEMS_01">"new P&amp;L years"</definedName>
    <definedName name="SL20EXPANDUP">"new P&amp;L years"</definedName>
    <definedName name="SL20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0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0PANDUP">213012976</definedName>
    <definedName name="SL20R01HND">-1</definedName>
    <definedName name="SL20R02HND">-1</definedName>
    <definedName name="SL20VIEWHND">-1</definedName>
    <definedName name="SL211FMTNM">213012976</definedName>
    <definedName name="SL21CHARTPLOTBY">1</definedName>
    <definedName name="SL21CHARTREF">"BP and MPR P&amp;L.xls_x001D_Sheet1_x001D_Chart 1"</definedName>
    <definedName name="SL21ELEMS_01">"new P&amp;L years"</definedName>
    <definedName name="SL21EXPANDUP">"new P&amp;L years"</definedName>
    <definedName name="SL21L01C01ALIAS">"Full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1L01C01DIMNM">"Full Year 2007/08_x001E_Full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1PANDUP">213012976</definedName>
    <definedName name="SL21R01HND">-1</definedName>
    <definedName name="SL21R02HND">-1</definedName>
    <definedName name="SL21VIEWHND">-1</definedName>
    <definedName name="SL22R01HND">-1</definedName>
    <definedName name="SL22R02HND">-1</definedName>
    <definedName name="SL22VIEWHND">-1</definedName>
    <definedName name="SL23C01ELEMS_01">"Full Year 2008/09_x001E_Full Year 2009/10_x001E_Full Year 2010/11_x001E_Full Year 2011/12_x001E_Full Year 2012/13_x001E_Full Year 2013/14_x001E_Full Year 2014/15_x001E_Full Year 2015/16_x001E_Full Year 2016/17_x001E_Full Year 2017/18_x001E_Full Year 2018/19_x001E_"</definedName>
    <definedName name="SL23C01FMTNM">"dyn inc years"</definedName>
    <definedName name="SL23C01HND">287266265</definedName>
    <definedName name="SL23VIEWHND">-1</definedName>
    <definedName name="SL24R01HND">-1</definedName>
    <definedName name="SL24R02HND">-1</definedName>
    <definedName name="SL24VIEWHND">-1</definedName>
    <definedName name="slan2">#REF!</definedName>
    <definedName name="SLAN3">#REF!</definedName>
    <definedName name="SLANTRF">#REF!</definedName>
    <definedName name="soft2">#REF!</definedName>
    <definedName name="SOFT3">#REF!</definedName>
    <definedName name="SOISTPlan">#REF!</definedName>
    <definedName name="SPAYTD3">#REF!</definedName>
    <definedName name="SpendPlanDevelopment">#REF!</definedName>
    <definedName name="SpendPlanExecution">#REF!</definedName>
    <definedName name="StaffCosts">#REF!</definedName>
    <definedName name="STAGES">#REF!</definedName>
    <definedName name="start">#REF!</definedName>
    <definedName name="Steel_4YrAvg">#REF!</definedName>
    <definedName name="SUBS">#REF!</definedName>
    <definedName name="subs_add">#REF!</definedName>
    <definedName name="SUBS_DEP">#REF!</definedName>
    <definedName name="SUBS_DEPRET">#REF!</definedName>
    <definedName name="SUBS_DEPTRF">#REF!</definedName>
    <definedName name="SUBS_NBV">#REF!</definedName>
    <definedName name="subs_ret">#REF!</definedName>
    <definedName name="subs_trf">#REF!</definedName>
    <definedName name="subs1">#REF!</definedName>
    <definedName name="subs2">#REF!</definedName>
    <definedName name="Subs3">#REF!</definedName>
    <definedName name="Subs5">#REF!</definedName>
    <definedName name="SUBSDEP">#REF!</definedName>
    <definedName name="subsnbv">#REF!</definedName>
    <definedName name="SUBSRET">#REF!</definedName>
    <definedName name="SubsYTD3">#REF!</definedName>
    <definedName name="SubsYTD5">#REF!</definedName>
    <definedName name="SX01R02ENABLE">1</definedName>
    <definedName name="SX01R03ENABLE">1</definedName>
    <definedName name="SX01R04ENABLE">1</definedName>
    <definedName name="SX01R05ENABLE">1</definedName>
    <definedName name="SX01R06ENABLE">1</definedName>
    <definedName name="SX01R22ENABLE">1</definedName>
    <definedName name="SXBNDDSP">0</definedName>
    <definedName name="sysClientName">#REF!</definedName>
    <definedName name="sysCountVersions">#REF!</definedName>
    <definedName name="sysFileName">#REF!</definedName>
    <definedName name="sysLastSave">#REF!</definedName>
    <definedName name="sysModelName">#REF!</definedName>
    <definedName name="sysSaveDateFormat">#REF!</definedName>
    <definedName name="sysVerFormat">#REF!</definedName>
    <definedName name="sysVerlblMajor">#REF!</definedName>
    <definedName name="sysVerlblMinor">#REF!</definedName>
    <definedName name="sysVerLogMajor">#REF!</definedName>
    <definedName name="sysVerLogMinor">#REF!</definedName>
    <definedName name="sysVerPrefixMajor">#REF!</definedName>
    <definedName name="sysVerPrefixMinor">#REF!</definedName>
    <definedName name="sysVersion">#REF!</definedName>
    <definedName name="Table_2.3">#REF!</definedName>
    <definedName name="Table_4.1">#REF!</definedName>
    <definedName name="Table_4.4">#REF!</definedName>
    <definedName name="Table_X2">#REF!</definedName>
    <definedName name="TableName">"Dummy"</definedName>
    <definedName name="Team">#REF!</definedName>
    <definedName name="Template.WIRE">"DBACCESS"</definedName>
    <definedName name="Testing">#REF!</definedName>
    <definedName name="Thousand">#REF!</definedName>
    <definedName name="Title">#REF!</definedName>
    <definedName name="TITLE1" localSheetId="13">_xll.SUBNM("transpower:FLT Scn","","0708B-F01")</definedName>
    <definedName name="TITLE1" localSheetId="14">_xll.SUBNM("transpower:FLT Scn","","0708B-F01")</definedName>
    <definedName name="TITLE1">_xll.SUBNM("transpower:FLT Scn","","0708B-F01")</definedName>
    <definedName name="TITLE10" localSheetId="13">_xll.SUBNM("transpower:FLT Scn","","0708B-F01")</definedName>
    <definedName name="TITLE10" localSheetId="14">_xll.SUBNM("transpower:FLT Scn","","0708B-F01")</definedName>
    <definedName name="TITLE10">_xll.SUBNM("transpower:FLT Scn","","0708B-F01")</definedName>
    <definedName name="TITLE11" localSheetId="13">_xll.SUBNM("transpower:FLT Rev","","SO")</definedName>
    <definedName name="TITLE11" localSheetId="14">_xll.SUBNM("transpower:FLT Rev","","SO")</definedName>
    <definedName name="TITLE11">_xll.SUBNM("transpower:FLT Rev","","SO")</definedName>
    <definedName name="TITLE1ALIAS">"Description"</definedName>
    <definedName name="TITLE2" localSheetId="13">_xll.SUBNM("transpower:FLT Rev","","SO")</definedName>
    <definedName name="TITLE2" localSheetId="14">_xll.SUBNM("transpower:FLT Rev","","SO")</definedName>
    <definedName name="TITLE2">_xll.SUBNM("transpower:FLT Rev","","SO")</definedName>
    <definedName name="TITLE3ALIAS">"Scenario &amp; Description"</definedName>
    <definedName name="TITLE4" localSheetId="13">_xll.SUBNM("transpower:FLT Scn","","0708B-F01")</definedName>
    <definedName name="TITLE4" localSheetId="14">_xll.SUBNM("transpower:FLT Scn","","0708B-F01")</definedName>
    <definedName name="TITLE4">_xll.SUBNM("transpower:FLT Scn","","0708B-F01")</definedName>
    <definedName name="TITLE5" localSheetId="13">_xll.SUBNM("transpower:FLT Rev","","SO")</definedName>
    <definedName name="TITLE5" localSheetId="14">_xll.SUBNM("transpower:FLT Rev","","SO")</definedName>
    <definedName name="TITLE5">_xll.SUBNM("transpower:FLT Rev","","SO")</definedName>
    <definedName name="TITLE7" localSheetId="13">_xll.SUBNM("transpower:FLT Scn","","0708B-F01")</definedName>
    <definedName name="TITLE7" localSheetId="14">_xll.SUBNM("transpower:FLT Scn","","0708B-F01")</definedName>
    <definedName name="TITLE7">_xll.SUBNM("transpower:FLT Scn","","0708B-F01")</definedName>
    <definedName name="TITLE9" localSheetId="13">_xll.SUBNM("transpower:FLT Rev","","SO")</definedName>
    <definedName name="TITLE9" localSheetId="14">_xll.SUBNM("transpower:FLT Rev","","SO")</definedName>
    <definedName name="TITLE9">_xll.SUBNM("transpower:FLT Rev","","SO")</definedName>
    <definedName name="tlan">#REF!</definedName>
    <definedName name="tlan2">#REF!</definedName>
    <definedName name="TLAN3">#REF!</definedName>
    <definedName name="tlan4">#REF!</definedName>
    <definedName name="TLANDEP\">#REF!</definedName>
    <definedName name="tm1\\_0_H">"{ ""server"" : ""http://ndctm1-prdapp01.transpower.co.nz"", ""cube"" : ""{ \""server\"" : \""Staging\"", \""cube\"" : \""TP_Project_ReportingD2\""}""}"</definedName>
    <definedName name="tm1\\_0_H_1">"{ ""server"" : ""http://ndctm1-prdapp01.transpower.co.nz"", ""cube"" : ""{ \""server\"" : \""Transpower\"", \""cube\"" : \""FM_TTYM\""}""}"</definedName>
    <definedName name="tm1\\_0_H_1_1">"{ ""server"" : ""http://ndctm1-prdapp01.transpower.co.nz/"", ""cube"" : ""{ \""server\"" : \""Transpower\"", \""cube\"" : \""FM_TTYM\""}""}"</definedName>
    <definedName name="tm1\\_0_H_2">"{ ""server"" : ""http://ndctm1-prdapp01.transpower.co.nz"", ""cube"" : ""{ \""server\"" : \""Transpower\"", \""cube\"" : \""TP_Project_ReportingD2\""}""}"</definedName>
    <definedName name="tm1\\_1_H">"{ ""server"" : ""http://ndctm1-prdapp01.transpower.co.nz"", ""cube"" : ""{ \""server\"" : \""Transpower\"", \""cube\"" : \""FM_TTYM\""}""}"</definedName>
    <definedName name="tm1\\_1_H_1">"{ ""server"" : ""http://ndctm1-prdapp01.transpower.co.nz"", ""cube"" : ""{ \""server\"" : \""Transpower\"", \""cube\"" : \""MR_HR\""}""}"</definedName>
    <definedName name="tm1\\_2_H">"{ ""server"" : ""http://ndctm1-prdapp01.transpower.co.nz"", ""cube"" : ""{ \""server\"" : \""Transpower\"", \""cube\"" : \""TP_Project_ReportingD2\""}""}"</definedName>
    <definedName name="tm1\\_3_H">"{ ""server"" : ""http://ndctm1-prdapp01.transpower.co.nz"", ""cube"" : ""{ \""server\"" : \""Transpower\"", \""cube\"" : \""TP_Project_ReportingD2\""}""}"</definedName>
    <definedName name="tm1\\_4_H">"{ ""server"" : ""http://ndctm1-prdapp01.transpower.co.nz"", ""cube"" : ""{ \""server\"" : \""Transpower\"", \""cube\"" : \""TP_Project_ReportingD2\""}""}"</definedName>
    <definedName name="tm1\\_5_H">"{ ""server"" : ""http://ndctm1-prdapp01.transpower.co.nz"", ""cube"" : ""{ \""server\"" : \""Transpower\"", \""cube\"" : \""FM_TTYM\""}""}"</definedName>
    <definedName name="tm1\\_6_H">"{ ""server"" : ""http://ndctm1-prdapp01.transpower.co.nz"", ""cube"" : ""{ \""server\"" : \""Transpower\"", \""cube\"" : \""FM_TTYM\""}""}"</definedName>
    <definedName name="tm1\\_7_H">"{ ""server"" : ""http://ndctm1-prdapp01.transpower.co.nz"", ""cube"" : ""{ \""server\"" : \""Transpower\"", \""cube\"" : \""FM_TTYM\""}""}"</definedName>
    <definedName name="TM1REBUILDOPTION">1</definedName>
    <definedName name="TM1RPTFMTRNG2">#REF!</definedName>
    <definedName name="tpnz">#REF!</definedName>
    <definedName name="tprm">#REF!</definedName>
    <definedName name="TPRM_SCENARIO">#REF!</definedName>
    <definedName name="TPRM_VALUES">#REF!</definedName>
    <definedName name="TRAN">#REF!</definedName>
    <definedName name="tran_add">#REF!</definedName>
    <definedName name="TRAN_DEP">#REF!</definedName>
    <definedName name="TRAN_DEPRET">#REF!</definedName>
    <definedName name="TRAN_NBV">#REF!</definedName>
    <definedName name="tran_ret">#REF!</definedName>
    <definedName name="tran_trf">#REF!</definedName>
    <definedName name="TRAN3">#REF!</definedName>
    <definedName name="trannbv">#REF!</definedName>
    <definedName name="TRANRET">#REF!</definedName>
    <definedName name="Trans_RCP3">#REF!</definedName>
    <definedName name="Trans_RCP4">#REF!</definedName>
    <definedName name="Trans_RCP5">#REF!</definedName>
    <definedName name="Trans3">#REF!</definedName>
    <definedName name="Trans5">#REF!</definedName>
    <definedName name="TransYTD3">#REF!</definedName>
    <definedName name="TransYTD5">#REF!</definedName>
    <definedName name="TRANTRF">#REF!</definedName>
    <definedName name="trialbalance">#REF!</definedName>
    <definedName name="Type">#REF!</definedName>
    <definedName name="Type_2">#REF!</definedName>
    <definedName name="unapproved_listed">#REF!</definedName>
    <definedName name="unapproved_major">#REF!</definedName>
    <definedName name="UnplannedSysMins">#REF!</definedName>
    <definedName name="USD_RATE">#REF!</definedName>
    <definedName name="value">#REF!</definedName>
    <definedName name="Values">#REF!</definedName>
    <definedName name="vendor">#REF!</definedName>
    <definedName name="Version.WIRE">1</definedName>
    <definedName name="VRCard">#REF!</definedName>
    <definedName name="VRoles">#REF!</definedName>
    <definedName name="WACC">#REF!</definedName>
    <definedName name="WACC2_pt">#REF!</definedName>
    <definedName name="Wholesale">#REF!</definedName>
    <definedName name="WorkTypeNew">#REF!</definedName>
    <definedName name="WorkTypeOldData">#REF!</definedName>
    <definedName name="xcaxc">#REF!</definedName>
    <definedName name="XXX">#REF!</definedName>
    <definedName name="XXXX">#REF!</definedName>
    <definedName name="Year">#REF!</definedName>
    <definedName name="YEAR_CURRENT">#REF!</definedName>
    <definedName name="YEAR_INDEX">#REF!</definedName>
    <definedName name="YEAR_UPCOMING">#REF!</definedName>
    <definedName name="Year0Column">COLUMN(#REF!)-1</definedName>
    <definedName name="Years">#REF!</definedName>
    <definedName name="yeartodate">#REF!</definedName>
    <definedName name="YiY">#REF!</definedName>
    <definedName name="YTD_Variances">#REF!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6" i="4" l="1"/>
  <c r="L125" i="4"/>
  <c r="L124" i="4"/>
  <c r="L121" i="4"/>
  <c r="L123" i="4" l="1"/>
  <c r="L122" i="4"/>
  <c r="L120" i="4"/>
  <c r="L114" i="4"/>
  <c r="L113" i="4"/>
  <c r="L112" i="4"/>
  <c r="L111" i="4"/>
  <c r="L110" i="4"/>
  <c r="L109" i="4"/>
  <c r="L108" i="4"/>
  <c r="L107" i="4"/>
  <c r="L106" i="4"/>
  <c r="L105" i="4"/>
  <c r="L104" i="4"/>
  <c r="L103" i="4"/>
  <c r="L102" i="4"/>
  <c r="K115" i="4"/>
  <c r="E122" i="4"/>
  <c r="E121" i="4"/>
  <c r="H66" i="4" l="1"/>
  <c r="C127" i="4" l="1"/>
  <c r="C126" i="4"/>
  <c r="C125" i="4"/>
  <c r="C124" i="4"/>
  <c r="C123" i="4"/>
  <c r="C122" i="4"/>
  <c r="C121" i="4"/>
  <c r="C120" i="4"/>
  <c r="C114" i="4"/>
  <c r="C113" i="4"/>
  <c r="C112" i="4"/>
  <c r="C111" i="4"/>
  <c r="C110" i="4"/>
  <c r="C109" i="4"/>
  <c r="C108" i="4"/>
  <c r="C107" i="4"/>
  <c r="C106" i="4"/>
  <c r="C105" i="4"/>
  <c r="C104" i="4"/>
  <c r="C103" i="4"/>
  <c r="C102" i="4"/>
  <c r="C101" i="4"/>
  <c r="D9" i="52" l="1"/>
  <c r="B79" i="44"/>
  <c r="B78" i="44"/>
  <c r="B76" i="44"/>
  <c r="G20" i="21" l="1"/>
  <c r="D33" i="52" l="1"/>
  <c r="H64" i="4" l="1"/>
  <c r="G49" i="50" l="1"/>
  <c r="H49" i="50" s="1"/>
  <c r="I49" i="50" s="1"/>
  <c r="J49" i="50" s="1"/>
  <c r="G47" i="21" l="1"/>
  <c r="K3" i="7" l="1"/>
  <c r="C3" i="44" l="1"/>
  <c r="B17" i="6"/>
  <c r="D19" i="6"/>
  <c r="H28" i="47"/>
  <c r="H26" i="47"/>
  <c r="H12" i="47" l="1"/>
  <c r="H13" i="47"/>
  <c r="H14" i="47"/>
  <c r="H15" i="47"/>
  <c r="H16" i="47"/>
  <c r="H17" i="47"/>
  <c r="E83" i="1" l="1"/>
  <c r="E98" i="1"/>
  <c r="E121" i="1" l="1"/>
  <c r="I83" i="1"/>
  <c r="E78" i="16"/>
  <c r="D81" i="16" l="1"/>
  <c r="E75" i="16"/>
  <c r="E126" i="4"/>
  <c r="E125" i="4"/>
  <c r="E124" i="4"/>
  <c r="E119" i="4"/>
  <c r="E118" i="4"/>
  <c r="E104" i="4"/>
  <c r="E105" i="4"/>
  <c r="E106" i="4"/>
  <c r="E107" i="4"/>
  <c r="E108" i="4"/>
  <c r="E109" i="4"/>
  <c r="E110" i="4"/>
  <c r="E111" i="4"/>
  <c r="E112" i="4"/>
  <c r="E113" i="4"/>
  <c r="E114" i="4"/>
  <c r="E103" i="4"/>
  <c r="G46" i="4"/>
  <c r="E102" i="4"/>
  <c r="I81" i="4" l="1"/>
  <c r="G16" i="11" s="1"/>
  <c r="G123" i="4"/>
  <c r="E123" i="4"/>
  <c r="E116" i="4"/>
  <c r="B25" i="40"/>
  <c r="B56" i="56" s="1"/>
  <c r="B68" i="38" s="1"/>
  <c r="B35" i="52"/>
  <c r="B57" i="7"/>
  <c r="I14" i="15"/>
  <c r="I15" i="15"/>
  <c r="I16" i="15"/>
  <c r="I17" i="15"/>
  <c r="I13" i="15"/>
  <c r="B71" i="24" l="1"/>
  <c r="B40" i="19"/>
  <c r="B41" i="3"/>
  <c r="B33" i="47"/>
  <c r="B34" i="51"/>
  <c r="B141" i="1"/>
  <c r="B37" i="13"/>
  <c r="B58" i="21"/>
  <c r="B30" i="54"/>
  <c r="B54" i="50"/>
  <c r="B45" i="11"/>
  <c r="B89" i="4"/>
  <c r="B49" i="15"/>
  <c r="B85" i="16"/>
  <c r="C55" i="44"/>
  <c r="C58" i="44" s="1"/>
  <c r="B81" i="44" l="1"/>
  <c r="B114" i="44"/>
  <c r="B115" i="44"/>
  <c r="B109" i="44"/>
  <c r="B113" i="44"/>
  <c r="B107" i="44"/>
  <c r="B106" i="44"/>
  <c r="B102" i="44"/>
  <c r="B93" i="44"/>
  <c r="B91" i="44"/>
  <c r="B89" i="44"/>
  <c r="B87" i="44"/>
  <c r="B86" i="44"/>
  <c r="B85" i="44"/>
  <c r="B83" i="44"/>
  <c r="B82" i="44"/>
  <c r="B73" i="44"/>
  <c r="G20" i="24"/>
  <c r="H20" i="24" s="1"/>
  <c r="I20" i="24" s="1"/>
  <c r="J20" i="24" s="1"/>
  <c r="B71" i="44"/>
  <c r="B69" i="44"/>
  <c r="B67" i="44"/>
  <c r="B65" i="44"/>
  <c r="B64" i="44"/>
  <c r="B63" i="44"/>
  <c r="B61" i="44"/>
  <c r="B60" i="44"/>
  <c r="B59" i="44"/>
  <c r="B56" i="44"/>
  <c r="B54" i="44"/>
  <c r="B53" i="44"/>
  <c r="B52" i="44"/>
  <c r="B57" i="44"/>
  <c r="C92" i="44" l="1"/>
  <c r="C108" i="44" s="1"/>
  <c r="C88" i="44"/>
  <c r="C90" i="44"/>
  <c r="C62" i="44"/>
  <c r="C75" i="44"/>
  <c r="C77" i="44" s="1"/>
  <c r="C66" i="44"/>
  <c r="C68" i="44" s="1"/>
  <c r="C72" i="44" s="1"/>
  <c r="C80" i="44"/>
  <c r="C84" i="44"/>
  <c r="G21" i="51"/>
  <c r="H21" i="51" s="1"/>
  <c r="I21" i="51" s="1"/>
  <c r="J21" i="51" s="1"/>
  <c r="K21" i="51" s="1"/>
  <c r="L21" i="51" s="1"/>
  <c r="M21" i="51" s="1"/>
  <c r="G28" i="47"/>
  <c r="G26" i="47"/>
  <c r="G20" i="47"/>
  <c r="G21" i="47"/>
  <c r="G22" i="47"/>
  <c r="G23" i="47"/>
  <c r="G24" i="47"/>
  <c r="G19" i="47"/>
  <c r="G13" i="47"/>
  <c r="G14" i="47"/>
  <c r="G15" i="47"/>
  <c r="G16" i="47"/>
  <c r="G17" i="47"/>
  <c r="G12" i="47"/>
  <c r="F28" i="47"/>
  <c r="E28" i="47"/>
  <c r="D28" i="47"/>
  <c r="F26" i="47"/>
  <c r="E26" i="47"/>
  <c r="D26" i="47"/>
  <c r="F24" i="47"/>
  <c r="E24" i="47"/>
  <c r="D24" i="47"/>
  <c r="F23" i="47"/>
  <c r="E23" i="47"/>
  <c r="D23" i="47"/>
  <c r="F22" i="47"/>
  <c r="E22" i="47"/>
  <c r="D22" i="47"/>
  <c r="F21" i="47"/>
  <c r="E21" i="47"/>
  <c r="D21" i="47"/>
  <c r="F20" i="47"/>
  <c r="E20" i="47"/>
  <c r="D20" i="47"/>
  <c r="F19" i="47"/>
  <c r="E19" i="47"/>
  <c r="D19" i="47"/>
  <c r="F17" i="47"/>
  <c r="E17" i="47"/>
  <c r="D17" i="47"/>
  <c r="F16" i="47"/>
  <c r="E16" i="47"/>
  <c r="D16" i="47"/>
  <c r="F15" i="47"/>
  <c r="E15" i="47"/>
  <c r="D15" i="47"/>
  <c r="F14" i="47"/>
  <c r="E14" i="47"/>
  <c r="D14" i="47"/>
  <c r="F13" i="47"/>
  <c r="E13" i="47"/>
  <c r="D13" i="47"/>
  <c r="F12" i="47"/>
  <c r="E12" i="47"/>
  <c r="D12" i="47"/>
  <c r="D17" i="19"/>
  <c r="F13" i="11"/>
  <c r="I28" i="54"/>
  <c r="J13" i="50" s="1"/>
  <c r="I27" i="54"/>
  <c r="I13" i="50" s="1"/>
  <c r="I26" i="54"/>
  <c r="H13" i="50" s="1"/>
  <c r="I25" i="54"/>
  <c r="G13" i="50" s="1"/>
  <c r="I24" i="54"/>
  <c r="F13" i="50" s="1"/>
  <c r="I18" i="54"/>
  <c r="J11" i="50" s="1"/>
  <c r="I17" i="54"/>
  <c r="I11" i="50" s="1"/>
  <c r="I16" i="54"/>
  <c r="H11" i="50" s="1"/>
  <c r="I15" i="54"/>
  <c r="G11" i="50" s="1"/>
  <c r="I14" i="54"/>
  <c r="G29" i="50"/>
  <c r="H29" i="50" s="1"/>
  <c r="I29" i="50" s="1"/>
  <c r="J29" i="50" s="1"/>
  <c r="G39" i="50"/>
  <c r="H39" i="50" s="1"/>
  <c r="I39" i="50" s="1"/>
  <c r="J39" i="50" s="1"/>
  <c r="G10" i="50"/>
  <c r="H10" i="50" s="1"/>
  <c r="I10" i="50" s="1"/>
  <c r="J10" i="50" s="1"/>
  <c r="F11" i="50" l="1"/>
  <c r="F12" i="50" s="1"/>
  <c r="E120" i="4"/>
  <c r="E127" i="4" s="1"/>
  <c r="E129" i="4" s="1"/>
  <c r="I12" i="47"/>
  <c r="I13" i="47"/>
  <c r="J14" i="11"/>
  <c r="G14" i="11"/>
  <c r="I14" i="47"/>
  <c r="I15" i="47"/>
  <c r="I16" i="47"/>
  <c r="I17" i="47"/>
  <c r="C105" i="44"/>
  <c r="C101" i="44"/>
  <c r="H12" i="50"/>
  <c r="I12" i="50"/>
  <c r="G12" i="50"/>
  <c r="J12" i="50"/>
  <c r="F30" i="21" l="1"/>
  <c r="D14" i="51"/>
  <c r="F16" i="21" s="1"/>
  <c r="D32" i="51"/>
  <c r="G11" i="4" l="1"/>
  <c r="G10" i="24"/>
  <c r="H10" i="24" s="1"/>
  <c r="I10" i="24" s="1"/>
  <c r="J10" i="24" s="1"/>
  <c r="J17" i="52"/>
  <c r="J18" i="52"/>
  <c r="J19" i="52"/>
  <c r="J20" i="52"/>
  <c r="J16" i="52"/>
  <c r="M25" i="51"/>
  <c r="L25" i="51"/>
  <c r="K25" i="51"/>
  <c r="J25" i="51"/>
  <c r="G25" i="51"/>
  <c r="H25" i="51" s="1"/>
  <c r="G23" i="51"/>
  <c r="M3" i="51"/>
  <c r="K105" i="4" l="1"/>
  <c r="K104" i="4"/>
  <c r="K114" i="4"/>
  <c r="K113" i="4"/>
  <c r="K110" i="4"/>
  <c r="K109" i="4"/>
  <c r="K108" i="4"/>
  <c r="K103" i="4"/>
  <c r="K102" i="4"/>
  <c r="K111" i="4"/>
  <c r="K107" i="4"/>
  <c r="K106" i="4"/>
  <c r="K112" i="4"/>
  <c r="G30" i="4"/>
  <c r="G29" i="4"/>
  <c r="H23" i="51"/>
  <c r="G24" i="4"/>
  <c r="G26" i="4"/>
  <c r="K118" i="4" s="1"/>
  <c r="I25" i="51"/>
  <c r="I29" i="4" l="1"/>
  <c r="K121" i="4"/>
  <c r="I30" i="4"/>
  <c r="K122" i="4"/>
  <c r="I23" i="51"/>
  <c r="F15" i="50" s="1"/>
  <c r="F18" i="50" s="1"/>
  <c r="E10" i="19"/>
  <c r="B97" i="44"/>
  <c r="B74" i="44"/>
  <c r="B70" i="44"/>
  <c r="B112" i="44"/>
  <c r="B111" i="44"/>
  <c r="B110" i="44"/>
  <c r="B104" i="44"/>
  <c r="B103" i="44"/>
  <c r="B96" i="44"/>
  <c r="B95" i="44"/>
  <c r="B94" i="44"/>
  <c r="F40" i="50" l="1"/>
  <c r="F14" i="50"/>
  <c r="G64" i="4"/>
  <c r="J23" i="51"/>
  <c r="E20" i="1"/>
  <c r="F16" i="50" l="1"/>
  <c r="F17" i="50"/>
  <c r="G14" i="50"/>
  <c r="G15" i="50"/>
  <c r="K23" i="51"/>
  <c r="E11" i="19" l="1"/>
  <c r="H70" i="4"/>
  <c r="G120" i="4" s="1"/>
  <c r="F30" i="50"/>
  <c r="H14" i="50"/>
  <c r="H15" i="50"/>
  <c r="L23" i="51"/>
  <c r="G18" i="50"/>
  <c r="G17" i="50"/>
  <c r="G16" i="50"/>
  <c r="F19" i="50"/>
  <c r="G30" i="50" l="1"/>
  <c r="G40" i="50"/>
  <c r="G42" i="50" s="1"/>
  <c r="F50" i="50"/>
  <c r="G19" i="50"/>
  <c r="G50" i="50" s="1"/>
  <c r="H17" i="50"/>
  <c r="H16" i="50"/>
  <c r="I14" i="50"/>
  <c r="I15" i="50"/>
  <c r="M23" i="51"/>
  <c r="H18" i="50"/>
  <c r="G32" i="50" l="1"/>
  <c r="G52" i="50"/>
  <c r="H30" i="50"/>
  <c r="H32" i="50" s="1"/>
  <c r="H40" i="50"/>
  <c r="H42" i="50" s="1"/>
  <c r="H19" i="50"/>
  <c r="H50" i="50" s="1"/>
  <c r="J14" i="50"/>
  <c r="J15" i="50"/>
  <c r="I18" i="50"/>
  <c r="I17" i="50"/>
  <c r="I16" i="50"/>
  <c r="I30" i="50" l="1"/>
  <c r="I32" i="50" s="1"/>
  <c r="I40" i="50"/>
  <c r="I42" i="50" s="1"/>
  <c r="H52" i="50"/>
  <c r="I19" i="50"/>
  <c r="I50" i="50" s="1"/>
  <c r="J17" i="50"/>
  <c r="J16" i="50"/>
  <c r="J18" i="50"/>
  <c r="J30" i="50" l="1"/>
  <c r="J32" i="50" s="1"/>
  <c r="J40" i="50"/>
  <c r="J42" i="50" s="1"/>
  <c r="I52" i="50"/>
  <c r="J19" i="50"/>
  <c r="J50" i="50" s="1"/>
  <c r="E27" i="16"/>
  <c r="J52" i="50" l="1"/>
  <c r="E77" i="16"/>
  <c r="E80" i="16" s="1"/>
  <c r="H47" i="4"/>
  <c r="G102" i="4" s="1"/>
  <c r="E31" i="19"/>
  <c r="J3" i="24" l="1"/>
  <c r="I3" i="15"/>
  <c r="E3" i="16"/>
  <c r="J3" i="54" l="1"/>
  <c r="H3" i="56"/>
  <c r="G3" i="40"/>
  <c r="F3" i="13"/>
  <c r="N3" i="1"/>
  <c r="I3" i="47"/>
  <c r="J3" i="38"/>
  <c r="E3" i="19"/>
  <c r="J3" i="52"/>
  <c r="G3" i="21"/>
  <c r="J3" i="50"/>
  <c r="H3" i="11"/>
  <c r="I3" i="4"/>
  <c r="E26" i="16"/>
  <c r="E64" i="16"/>
  <c r="E66" i="16" l="1"/>
  <c r="E67" i="16" s="1"/>
  <c r="E54" i="16" l="1"/>
  <c r="E55" i="16" s="1"/>
  <c r="E82" i="16" l="1"/>
  <c r="H75" i="4"/>
  <c r="G126" i="4" s="1"/>
  <c r="H67" i="4" l="1"/>
  <c r="E31" i="16"/>
  <c r="I67" i="4" l="1"/>
  <c r="G118" i="4"/>
  <c r="M98" i="1"/>
  <c r="K98" i="1"/>
  <c r="I98" i="1"/>
  <c r="G98" i="1"/>
  <c r="I28" i="47"/>
  <c r="M83" i="1"/>
  <c r="K83" i="1"/>
  <c r="G83" i="1"/>
  <c r="I26" i="47"/>
  <c r="H118" i="4" l="1"/>
  <c r="H128" i="4" s="1"/>
  <c r="H22" i="47"/>
  <c r="I22" i="47" s="1"/>
  <c r="H20" i="47"/>
  <c r="I20" i="47" s="1"/>
  <c r="H19" i="47"/>
  <c r="I19" i="47" s="1"/>
  <c r="H24" i="47"/>
  <c r="I24" i="47" s="1"/>
  <c r="H23" i="47"/>
  <c r="I23" i="47" s="1"/>
  <c r="H21" i="47"/>
  <c r="I21" i="47" s="1"/>
  <c r="F56" i="24"/>
  <c r="I29" i="47" l="1"/>
  <c r="G30" i="11" s="1"/>
  <c r="H72" i="4"/>
  <c r="G122" i="4" s="1"/>
  <c r="E122" i="1" l="1"/>
  <c r="M122" i="1"/>
  <c r="M123" i="1"/>
  <c r="M124" i="1"/>
  <c r="M125" i="1"/>
  <c r="M126" i="1"/>
  <c r="M127" i="1"/>
  <c r="M121" i="1"/>
  <c r="K122" i="1"/>
  <c r="K123" i="1"/>
  <c r="K124" i="1"/>
  <c r="K125" i="1"/>
  <c r="K126" i="1"/>
  <c r="K127" i="1"/>
  <c r="K121" i="1"/>
  <c r="I122" i="1"/>
  <c r="I123" i="1"/>
  <c r="I124" i="1"/>
  <c r="I125" i="1"/>
  <c r="I126" i="1"/>
  <c r="I127" i="1"/>
  <c r="G122" i="1"/>
  <c r="G123" i="1"/>
  <c r="G124" i="1"/>
  <c r="G125" i="1"/>
  <c r="G126" i="1"/>
  <c r="G127" i="1"/>
  <c r="I121" i="1"/>
  <c r="G121" i="1"/>
  <c r="E123" i="1"/>
  <c r="E124" i="1"/>
  <c r="E125" i="1"/>
  <c r="E126" i="1"/>
  <c r="E127" i="1"/>
  <c r="M56" i="1"/>
  <c r="M57" i="1"/>
  <c r="M58" i="1"/>
  <c r="M59" i="1"/>
  <c r="M60" i="1"/>
  <c r="M55" i="1"/>
  <c r="K56" i="1"/>
  <c r="K57" i="1"/>
  <c r="K58" i="1"/>
  <c r="K59" i="1"/>
  <c r="K60" i="1"/>
  <c r="K55" i="1"/>
  <c r="I56" i="1"/>
  <c r="I57" i="1"/>
  <c r="I58" i="1"/>
  <c r="I59" i="1"/>
  <c r="I60" i="1"/>
  <c r="I55" i="1"/>
  <c r="G56" i="1"/>
  <c r="G57" i="1"/>
  <c r="G58" i="1"/>
  <c r="G59" i="1"/>
  <c r="G60" i="1"/>
  <c r="G55" i="1"/>
  <c r="E56" i="1"/>
  <c r="E57" i="1"/>
  <c r="E58" i="1"/>
  <c r="E59" i="1"/>
  <c r="E60" i="1"/>
  <c r="E55" i="1"/>
  <c r="G21" i="1"/>
  <c r="I21" i="1"/>
  <c r="K21" i="1"/>
  <c r="M21" i="1"/>
  <c r="G22" i="1"/>
  <c r="I22" i="1"/>
  <c r="K22" i="1"/>
  <c r="M22" i="1"/>
  <c r="G23" i="1"/>
  <c r="I23" i="1"/>
  <c r="K23" i="1"/>
  <c r="M23" i="1"/>
  <c r="G24" i="1"/>
  <c r="I24" i="1"/>
  <c r="K24" i="1"/>
  <c r="M24" i="1"/>
  <c r="G25" i="1"/>
  <c r="I25" i="1"/>
  <c r="K25" i="1"/>
  <c r="M25" i="1"/>
  <c r="M20" i="1"/>
  <c r="K20" i="1"/>
  <c r="I20" i="1"/>
  <c r="G20" i="1"/>
  <c r="E21" i="1"/>
  <c r="E22" i="1"/>
  <c r="E23" i="1"/>
  <c r="E24" i="1"/>
  <c r="E25" i="1"/>
  <c r="L120" i="1" l="1"/>
  <c r="H120" i="1"/>
  <c r="F120" i="1"/>
  <c r="J120" i="1"/>
  <c r="H54" i="1"/>
  <c r="L19" i="1"/>
  <c r="F54" i="1"/>
  <c r="D19" i="1"/>
  <c r="D31" i="1" s="1"/>
  <c r="F19" i="1"/>
  <c r="D54" i="1"/>
  <c r="D66" i="1" s="1"/>
  <c r="L54" i="1"/>
  <c r="H19" i="1"/>
  <c r="J19" i="1"/>
  <c r="J54" i="1"/>
  <c r="G31" i="21"/>
  <c r="G38" i="21" s="1"/>
  <c r="G39" i="21" s="1"/>
  <c r="J62" i="24"/>
  <c r="I62" i="24"/>
  <c r="H62" i="24"/>
  <c r="G62" i="24"/>
  <c r="J61" i="24"/>
  <c r="I61" i="24"/>
  <c r="H61" i="24"/>
  <c r="G61" i="24"/>
  <c r="J60" i="24"/>
  <c r="I60" i="24"/>
  <c r="H60" i="24"/>
  <c r="G60" i="24"/>
  <c r="J59" i="24"/>
  <c r="I59" i="24"/>
  <c r="H59" i="24"/>
  <c r="G59" i="24"/>
  <c r="J58" i="24"/>
  <c r="I58" i="24"/>
  <c r="H58" i="24"/>
  <c r="G58" i="24"/>
  <c r="J57" i="24"/>
  <c r="I57" i="24"/>
  <c r="H57" i="24"/>
  <c r="G57" i="24"/>
  <c r="J56" i="24"/>
  <c r="I56" i="24"/>
  <c r="H56" i="24"/>
  <c r="G56" i="24"/>
  <c r="J54" i="24"/>
  <c r="I54" i="24"/>
  <c r="H54" i="24"/>
  <c r="G54" i="24"/>
  <c r="F54" i="24"/>
  <c r="F62" i="24"/>
  <c r="F61" i="24"/>
  <c r="F60" i="24"/>
  <c r="F59" i="24"/>
  <c r="F58" i="24"/>
  <c r="F57" i="24"/>
  <c r="F45" i="24"/>
  <c r="J63" i="24" l="1"/>
  <c r="G63" i="24"/>
  <c r="H63" i="24"/>
  <c r="I63" i="24"/>
  <c r="F63" i="24"/>
  <c r="F64" i="24" s="1"/>
  <c r="G22" i="21" s="1"/>
  <c r="G53" i="21"/>
  <c r="G54" i="21" s="1"/>
  <c r="G32" i="11" s="1"/>
  <c r="G77" i="4"/>
  <c r="G31" i="4"/>
  <c r="G32" i="4"/>
  <c r="G33" i="4"/>
  <c r="G34" i="4"/>
  <c r="G28" i="4"/>
  <c r="K120" i="4" s="1"/>
  <c r="G27" i="4"/>
  <c r="K119" i="4" s="1"/>
  <c r="K123" i="4" l="1"/>
  <c r="I31" i="4"/>
  <c r="I32" i="4"/>
  <c r="K124" i="4"/>
  <c r="I33" i="4"/>
  <c r="K125" i="4"/>
  <c r="I34" i="4"/>
  <c r="F126" i="4" s="1"/>
  <c r="K126" i="4"/>
  <c r="I27" i="4"/>
  <c r="G61" i="4"/>
  <c r="I61" i="4" s="1"/>
  <c r="G65" i="4"/>
  <c r="I65" i="4" s="1"/>
  <c r="G68" i="4"/>
  <c r="G70" i="4"/>
  <c r="I70" i="4" s="1"/>
  <c r="G47" i="4"/>
  <c r="I47" i="4" s="1"/>
  <c r="G56" i="4"/>
  <c r="G58" i="4"/>
  <c r="G57" i="4"/>
  <c r="G66" i="4"/>
  <c r="I66" i="4" s="1"/>
  <c r="G59" i="4"/>
  <c r="G52" i="4"/>
  <c r="G54" i="4"/>
  <c r="G62" i="4"/>
  <c r="G60" i="4"/>
  <c r="I60" i="4" s="1"/>
  <c r="G72" i="4"/>
  <c r="I72" i="4" s="1"/>
  <c r="G53" i="4"/>
  <c r="G55" i="4"/>
  <c r="I64" i="4"/>
  <c r="G45" i="24"/>
  <c r="G73" i="4"/>
  <c r="G48" i="4"/>
  <c r="G74" i="4"/>
  <c r="G50" i="4"/>
  <c r="G49" i="4"/>
  <c r="G75" i="4"/>
  <c r="I75" i="4" s="1"/>
  <c r="G51" i="4"/>
  <c r="I28" i="4"/>
  <c r="F125" i="4" l="1"/>
  <c r="F124" i="4"/>
  <c r="H102" i="4"/>
  <c r="H120" i="4"/>
  <c r="H130" i="4"/>
  <c r="F119" i="4"/>
  <c r="F120" i="4"/>
  <c r="H122" i="4"/>
  <c r="F122" i="4"/>
  <c r="H126" i="4"/>
  <c r="I126" i="4" s="1"/>
  <c r="H45" i="24"/>
  <c r="F17" i="13"/>
  <c r="I122" i="4" l="1"/>
  <c r="I120" i="4"/>
  <c r="H73" i="4"/>
  <c r="I45" i="24"/>
  <c r="E12" i="19"/>
  <c r="F24" i="13"/>
  <c r="I73" i="4" l="1"/>
  <c r="G124" i="4"/>
  <c r="J45" i="24"/>
  <c r="H74" i="4"/>
  <c r="G125" i="4" s="1"/>
  <c r="E13" i="19"/>
  <c r="F25" i="13"/>
  <c r="H124" i="4" l="1"/>
  <c r="I124" i="4" s="1"/>
  <c r="I74" i="4"/>
  <c r="G16" i="4"/>
  <c r="G15" i="4"/>
  <c r="G23" i="4"/>
  <c r="G22" i="4"/>
  <c r="G21" i="4"/>
  <c r="G20" i="4"/>
  <c r="G19" i="4"/>
  <c r="G18" i="4"/>
  <c r="G17" i="4"/>
  <c r="G14" i="4"/>
  <c r="G13" i="4"/>
  <c r="G12" i="4"/>
  <c r="H125" i="4" l="1"/>
  <c r="I125" i="4" s="1"/>
  <c r="I13" i="4"/>
  <c r="F103" i="4" s="1"/>
  <c r="I14" i="4"/>
  <c r="F104" i="4" s="1"/>
  <c r="I24" i="4"/>
  <c r="F114" i="4" s="1"/>
  <c r="I17" i="4"/>
  <c r="F107" i="4" s="1"/>
  <c r="I18" i="4"/>
  <c r="F108" i="4" s="1"/>
  <c r="I19" i="4"/>
  <c r="F109" i="4" s="1"/>
  <c r="I20" i="4"/>
  <c r="F110" i="4" s="1"/>
  <c r="I21" i="4"/>
  <c r="F111" i="4" s="1"/>
  <c r="I22" i="4"/>
  <c r="F112" i="4" s="1"/>
  <c r="I23" i="4"/>
  <c r="F113" i="4" s="1"/>
  <c r="I15" i="4"/>
  <c r="F105" i="4" s="1"/>
  <c r="I12" i="4"/>
  <c r="I16" i="4"/>
  <c r="F106" i="4" s="1"/>
  <c r="F102" i="4" l="1"/>
  <c r="F116" i="4" s="1"/>
  <c r="I25" i="4"/>
  <c r="H123" i="4"/>
  <c r="F123" i="4"/>
  <c r="I26" i="4"/>
  <c r="I102" i="4" l="1"/>
  <c r="I123" i="4"/>
  <c r="F121" i="4"/>
  <c r="F118" i="4"/>
  <c r="I35" i="4"/>
  <c r="I46" i="15"/>
  <c r="I11" i="24" s="1"/>
  <c r="I44" i="15"/>
  <c r="G11" i="24" s="1"/>
  <c r="I43" i="15"/>
  <c r="F11" i="24" s="1"/>
  <c r="G19" i="21" s="1"/>
  <c r="I27" i="15"/>
  <c r="I26" i="15"/>
  <c r="I25" i="15"/>
  <c r="I24" i="15"/>
  <c r="I23" i="15"/>
  <c r="I118" i="4" l="1"/>
  <c r="F127" i="4"/>
  <c r="F128" i="4"/>
  <c r="I128" i="4" s="1"/>
  <c r="F12" i="24"/>
  <c r="F13" i="24" s="1"/>
  <c r="G12" i="24"/>
  <c r="G13" i="24" s="1"/>
  <c r="I12" i="24"/>
  <c r="I13" i="24" s="1"/>
  <c r="E34" i="19"/>
  <c r="E36" i="19" s="1"/>
  <c r="E15" i="19" s="1"/>
  <c r="I45" i="15"/>
  <c r="H11" i="24" s="1"/>
  <c r="I12" i="11"/>
  <c r="H62" i="4"/>
  <c r="H71" i="4"/>
  <c r="G119" i="4" s="1"/>
  <c r="I47" i="15"/>
  <c r="J11" i="24" s="1"/>
  <c r="J12" i="24" s="1"/>
  <c r="J13" i="24" s="1"/>
  <c r="G21" i="21" l="1"/>
  <c r="G17" i="21" s="1"/>
  <c r="F129" i="4"/>
  <c r="I62" i="4"/>
  <c r="H115" i="4" s="1"/>
  <c r="I115" i="4" s="1"/>
  <c r="I71" i="4"/>
  <c r="H12" i="24"/>
  <c r="H13" i="24" s="1"/>
  <c r="E41" i="16"/>
  <c r="I14" i="11"/>
  <c r="H119" i="4" l="1"/>
  <c r="H68" i="4"/>
  <c r="G11" i="21"/>
  <c r="I119" i="4" l="1"/>
  <c r="I68" i="4"/>
  <c r="K14" i="11"/>
  <c r="I69" i="4" l="1"/>
  <c r="I76" i="4" s="1"/>
  <c r="I37" i="15" l="1"/>
  <c r="I36" i="15"/>
  <c r="I35" i="15"/>
  <c r="I34" i="15"/>
  <c r="I33" i="15"/>
  <c r="E26" i="19" l="1"/>
  <c r="F32" i="50"/>
  <c r="E27" i="19" l="1"/>
  <c r="E14" i="19" s="1"/>
  <c r="E16" i="19" s="1"/>
  <c r="E18" i="19" s="1"/>
  <c r="H77" i="4" s="1"/>
  <c r="F42" i="50"/>
  <c r="F51" i="50"/>
  <c r="I77" i="4" l="1"/>
  <c r="H121" i="4" s="1"/>
  <c r="I121" i="4" s="1"/>
  <c r="G121" i="4"/>
  <c r="F52" i="50"/>
  <c r="I78" i="4" l="1"/>
  <c r="G25" i="21"/>
  <c r="G26" i="21" s="1"/>
  <c r="G10" i="21" s="1"/>
  <c r="G12" i="21" s="1"/>
  <c r="G31" i="11" s="1"/>
  <c r="H52" i="4" l="1"/>
  <c r="H49" i="4"/>
  <c r="H56" i="4"/>
  <c r="H51" i="4"/>
  <c r="H53" i="4"/>
  <c r="H54" i="4"/>
  <c r="H50" i="4"/>
  <c r="H57" i="4"/>
  <c r="H55" i="4"/>
  <c r="H58" i="4"/>
  <c r="I58" i="4" l="1"/>
  <c r="H113" i="4" s="1"/>
  <c r="G113" i="4"/>
  <c r="I55" i="4"/>
  <c r="H110" i="4" s="1"/>
  <c r="G110" i="4"/>
  <c r="I57" i="4"/>
  <c r="H112" i="4" s="1"/>
  <c r="G112" i="4"/>
  <c r="I50" i="4"/>
  <c r="H105" i="4" s="1"/>
  <c r="G105" i="4"/>
  <c r="I54" i="4"/>
  <c r="H109" i="4" s="1"/>
  <c r="G109" i="4"/>
  <c r="I53" i="4"/>
  <c r="H108" i="4" s="1"/>
  <c r="G108" i="4"/>
  <c r="I51" i="4"/>
  <c r="H106" i="4" s="1"/>
  <c r="G106" i="4"/>
  <c r="I56" i="4"/>
  <c r="H111" i="4" s="1"/>
  <c r="G111" i="4"/>
  <c r="I49" i="4"/>
  <c r="H104" i="4" s="1"/>
  <c r="G104" i="4"/>
  <c r="I52" i="4"/>
  <c r="H107" i="4" s="1"/>
  <c r="G107" i="4"/>
  <c r="I108" i="4" l="1"/>
  <c r="I109" i="4"/>
  <c r="I107" i="4"/>
  <c r="I105" i="4"/>
  <c r="I104" i="4"/>
  <c r="I112" i="4"/>
  <c r="I111" i="4"/>
  <c r="I110" i="4"/>
  <c r="I106" i="4"/>
  <c r="I113" i="4"/>
  <c r="H48" i="4"/>
  <c r="I48" i="4" l="1"/>
  <c r="H103" i="4" s="1"/>
  <c r="G103" i="4"/>
  <c r="I103" i="4" l="1"/>
  <c r="H59" i="4" l="1"/>
  <c r="E34" i="16"/>
  <c r="I59" i="4" l="1"/>
  <c r="I63" i="4" s="1"/>
  <c r="G114" i="4"/>
  <c r="G116" i="4" s="1"/>
  <c r="G127" i="4" s="1"/>
  <c r="G129" i="4" s="1"/>
  <c r="H114" i="4" l="1"/>
  <c r="I114" i="4" s="1"/>
  <c r="I116" i="4" s="1"/>
  <c r="I80" i="4"/>
  <c r="I82" i="4" s="1"/>
  <c r="G28" i="11" s="1"/>
  <c r="H116" i="4" l="1"/>
  <c r="H127" i="4" s="1"/>
  <c r="H134" i="4"/>
  <c r="H129" i="4" l="1"/>
  <c r="I129" i="4" s="1"/>
  <c r="I127" i="4"/>
  <c r="G36" i="11"/>
  <c r="H131" i="4" l="1"/>
  <c r="H133" i="4" s="1"/>
  <c r="H135" i="4" s="1"/>
  <c r="G15" i="11"/>
  <c r="G17" i="11" l="1"/>
  <c r="H12" i="11" l="1"/>
  <c r="H14"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<sst xmlns="http://schemas.openxmlformats.org/spreadsheetml/2006/main" count="1899" uniqueCount="1150">
  <si>
    <t xml:space="preserve">Regulatory disclosure of the
 Annual Compliance Statement as required by </t>
  </si>
  <si>
    <t>for the period</t>
  </si>
  <si>
    <t>The Annual Compliance Statement 
IPP determination 2025, Part 5, clause 25.2.1, clause 25.2.5 and clause 25.2.6
and Directors Certificate</t>
  </si>
  <si>
    <t>Disclosure Year:</t>
  </si>
  <si>
    <t>IPP reference: 25.2.1 The annual compliance statement must state whether or not Transpower has complied with the following:</t>
  </si>
  <si>
    <t>Transpower-Individual-Price-Quality-Path-Determination-2025.pdf</t>
  </si>
  <si>
    <t>Preparation date:</t>
  </si>
  <si>
    <t>Transpower has complied with</t>
  </si>
  <si>
    <t>Yes/No</t>
  </si>
  <si>
    <t>IPP reference</t>
  </si>
  <si>
    <t>- the quality standards in clause 14.1.1</t>
  </si>
  <si>
    <t>Yes</t>
  </si>
  <si>
    <t>Transpower IPP determination 2025, Part 5, clause 25.2.1(a)</t>
  </si>
  <si>
    <t>- the quality standards in clause 14.1.2</t>
  </si>
  <si>
    <t>Not applicable</t>
  </si>
  <si>
    <t>- the quality standards in clause 16.1.1</t>
  </si>
  <si>
    <t>- the quality standards in clause 16.1.2</t>
  </si>
  <si>
    <t>- the quality standards in clause 18.1 (incl. 2 to 4)</t>
  </si>
  <si>
    <t>- the quality standards in clause 19.1</t>
  </si>
  <si>
    <t>- the quality standards in clause 22.1.1</t>
  </si>
  <si>
    <t>- the quality standards in clause 22.1.2</t>
  </si>
  <si>
    <t>- the quality standards in clause 22.2.1</t>
  </si>
  <si>
    <t>- the quality standards in clause 22.2.2</t>
  </si>
  <si>
    <t>- the requirement to publicly disclose, in accordance with the ID determination, its annual grid output adjustment calculation for the disclosure year, including the values for ‘m’ calculated in accordance with Schedule B, clause B2(1) of the Capex IM</t>
  </si>
  <si>
    <t>Transpower IPP determination 2025, Part 5, clause 25.2.1(b)</t>
  </si>
  <si>
    <t>- requirements related to grid output adjustment calculations and public disclosure</t>
  </si>
  <si>
    <t>Transpower IPP determination 2025, Part 5, clause 25.2.1(c)</t>
  </si>
  <si>
    <t>- requirements related to wash-up calculations and public disclosure</t>
  </si>
  <si>
    <t>Transpower IPP determination 2025, Part 5, clause 25.2.1(d)</t>
  </si>
  <si>
    <t>TRANSPOWER NEW ZEALAND LIMITED
Individual Price-Quality Path (IPP) Annual Compliance Statement 1 July 2025 to June 2026</t>
  </si>
  <si>
    <t>Independent Assurance Report</t>
  </si>
  <si>
    <t>Transpower IPP determination 2025, Part 5, clause 37.1</t>
  </si>
  <si>
    <t>Annual Compliance Statement</t>
  </si>
  <si>
    <t>Workbook - Table of Contents for RCP4</t>
  </si>
  <si>
    <t>Requirements of the Price Quality Path Determination (IPP) 2025</t>
  </si>
  <si>
    <t>Transpower-Individual-Price-Quality-Path-Determination-2025 (Commerce Commission Website)</t>
  </si>
  <si>
    <t>Additional Information to accompany the ACS</t>
  </si>
  <si>
    <t>The IPP determination requires additional information to be disclosed alongside the ACS relating to asset and grid performance. These disclosures as additional sheets included in the ACS.</t>
  </si>
  <si>
    <t>Information Disclosures</t>
  </si>
  <si>
    <t>Accompanying this workbook is another workbook that includes the information required by our Information Disclosure Determination. Those disclosures supplement these, and include information relating to other aspects of our regulated business such as our regulated asset base, major capital projects, profit and return on investment, customer investment contracts, system statistics, demand and injection amounts and more detailed network performance data.</t>
  </si>
  <si>
    <r>
      <t xml:space="preserve">The Annual Compliance Statement </t>
    </r>
    <r>
      <rPr>
        <sz val="11"/>
        <color theme="1"/>
        <rFont val="Aptos Narrow"/>
        <family val="2"/>
        <scheme val="minor"/>
      </rPr>
      <t>(Transpower IPP determination 2025, Part 5)</t>
    </r>
  </si>
  <si>
    <t>Location</t>
  </si>
  <si>
    <t>Tab 1</t>
  </si>
  <si>
    <t>Transpower IPP determination 2020, Part 5, clause 23.2.1 and 23.2.5/6</t>
  </si>
  <si>
    <t>Tab 2</t>
  </si>
  <si>
    <t>Transpower IPP determination 2020, Part 5, clause 23.2.2/3/4</t>
  </si>
  <si>
    <t>Tab 3</t>
  </si>
  <si>
    <t>Transpower IPP determination 2020, Part 5, clause 23.2.7</t>
  </si>
  <si>
    <r>
      <t xml:space="preserve">The Annual Compliance Statement - information requirements </t>
    </r>
    <r>
      <rPr>
        <sz val="11"/>
        <color theme="1"/>
        <rFont val="Aptos Narrow"/>
        <family val="2"/>
        <scheme val="minor"/>
      </rPr>
      <t>(Transpower IPP determination 2020, Part 5, clause 24)</t>
    </r>
    <r>
      <rPr>
        <b/>
        <sz val="11"/>
        <color theme="1"/>
        <rFont val="Aptos Narrow"/>
        <family val="2"/>
        <scheme val="minor"/>
      </rPr>
      <t xml:space="preserve"> - </t>
    </r>
    <r>
      <rPr>
        <b/>
        <sz val="11"/>
        <color rgb="FF92D050"/>
        <rFont val="Aptos Narrow"/>
        <family val="2"/>
        <scheme val="minor"/>
      </rPr>
      <t>Tab colour green</t>
    </r>
  </si>
  <si>
    <t>Workbook location</t>
  </si>
  <si>
    <t>Tab 4</t>
  </si>
  <si>
    <t>Transpower IPP determination 2020, Part 5, clause 24.1.1</t>
  </si>
  <si>
    <t>Tab 5</t>
  </si>
  <si>
    <t>Transpower IPP determination 2020, Part 5, clause 24.1.2</t>
  </si>
  <si>
    <t>Tab 6</t>
  </si>
  <si>
    <t>Transpower IPP determination 2020, Part 5, clause 24.1.3</t>
  </si>
  <si>
    <t>Transpower IPP determination 2020, Part 5, clause 24.1.4</t>
  </si>
  <si>
    <t>Transpower IPP determination 2020, Part 5, clause 24.1.5</t>
  </si>
  <si>
    <t>Tab 7</t>
  </si>
  <si>
    <t>Transpower IPP determination 2020, Part 5, clause 24.1.6</t>
  </si>
  <si>
    <t>Tab 8</t>
  </si>
  <si>
    <t>Tab 9</t>
  </si>
  <si>
    <t>Transpower IPP determination 2020, Part 5, clause 24.1.7</t>
  </si>
  <si>
    <t>Transpower IPP determination 2020, Part 5, clause 24.1.7 (a)</t>
  </si>
  <si>
    <t>Transpower IPP determination 2020, Part 5, clause 24.1.7 (b)</t>
  </si>
  <si>
    <t>Tab 10</t>
  </si>
  <si>
    <t>Transpower IPP determination 2020, Part 5, clause 24.1.8</t>
  </si>
  <si>
    <t>Tab 11</t>
  </si>
  <si>
    <t>Transpower IPP determination 2020, Part 5, clause 24.1.9</t>
  </si>
  <si>
    <t>Transpower IPP determination 2020, Part 5, clause 24.1.10</t>
  </si>
  <si>
    <t>Transpower IPP determination 2020, Part 5, clause 24.1.11</t>
  </si>
  <si>
    <r>
      <t xml:space="preserve">Supporting information </t>
    </r>
    <r>
      <rPr>
        <sz val="11"/>
        <color theme="1"/>
        <rFont val="Aptos Narrow"/>
        <family val="2"/>
        <scheme val="minor"/>
      </rPr>
      <t>(Transpower IPP determination 2020, Part 5, clauses 29 and 31)</t>
    </r>
    <r>
      <rPr>
        <b/>
        <sz val="11"/>
        <color theme="1"/>
        <rFont val="Aptos Narrow"/>
        <family val="2"/>
        <scheme val="minor"/>
      </rPr>
      <t xml:space="preserve"> - </t>
    </r>
    <r>
      <rPr>
        <b/>
        <sz val="11"/>
        <color theme="4" tint="-0.249977111117893"/>
        <rFont val="Aptos Narrow"/>
        <family val="2"/>
        <scheme val="minor"/>
      </rPr>
      <t>Tab colour blue</t>
    </r>
  </si>
  <si>
    <t>n/a - this is not an IPP requirement. It is an alternative approach to calculating the ex-post economic gain or loss for the disclosure year</t>
  </si>
  <si>
    <t>Tab 12</t>
  </si>
  <si>
    <t>Transpower IPP determination 2020, Part 5, clauses 29.1.2 and 29.1.3</t>
  </si>
  <si>
    <t>Tab 13</t>
  </si>
  <si>
    <t>Transpower IPP determination 2020, Part 5, clause 29.1.5</t>
  </si>
  <si>
    <t>Tab 14</t>
  </si>
  <si>
    <t>Transpower IPP determination 2020, Part 5, clauses 29.1.6, 29.2 and 33.2</t>
  </si>
  <si>
    <t>Tab 15</t>
  </si>
  <si>
    <t>Tab 16</t>
  </si>
  <si>
    <t>Transpower IPP determination 2020, Part 5, clauses 34.1.1 (c) and 34.1.3</t>
  </si>
  <si>
    <t>Tab 17</t>
  </si>
  <si>
    <t>Transpower IPP determination 2020, Part 5, clause 34.1.3 (g)</t>
  </si>
  <si>
    <t>Tab 18</t>
  </si>
  <si>
    <t>Transpower IPP determination 2020, Part 5, clause 34.1.3 (h)</t>
  </si>
  <si>
    <t>Tab 19</t>
  </si>
  <si>
    <t>Transpower IPP determination 2020, Part 5, clause 34.1.3 (f)</t>
  </si>
  <si>
    <t>Tab 20</t>
  </si>
  <si>
    <t>Transpower IPP determination 2020, Part 5, Schedule C4 in combination with clause 29.2</t>
  </si>
  <si>
    <t>Tab 21</t>
  </si>
  <si>
    <t>Transpower IPP determination 2020, Part 5, clause 31.2.7/8/9</t>
  </si>
  <si>
    <r>
      <t xml:space="preserve">Compliance checklist for supporting information - </t>
    </r>
    <r>
      <rPr>
        <b/>
        <sz val="11"/>
        <color rgb="FFFFFF00"/>
        <rFont val="Aptos Narrow"/>
        <family val="2"/>
        <scheme val="minor"/>
      </rPr>
      <t>Tab colour yellow</t>
    </r>
  </si>
  <si>
    <t>Tab 22</t>
  </si>
  <si>
    <t>Transpower IPP determination 2020, Part 5, clause 29</t>
  </si>
  <si>
    <t>Tab 23</t>
  </si>
  <si>
    <t>Transpower IPP determination 2020, Part 5, clause 31</t>
  </si>
  <si>
    <r>
      <t xml:space="preserve">Alternative disclosures (to show the impact of exceptional events on the quality standards and the grid output adjustment) - </t>
    </r>
    <r>
      <rPr>
        <b/>
        <sz val="11"/>
        <color rgb="FF7030A0"/>
        <rFont val="Aptos Narrow"/>
        <family val="2"/>
        <scheme val="minor"/>
      </rPr>
      <t>Tab colour purple</t>
    </r>
  </si>
  <si>
    <t>Tab 2(a)</t>
  </si>
  <si>
    <t>Transpower IPP determination 2020, Part 5, clause 23.2.2/3/4 (excluding exceptional events)</t>
  </si>
  <si>
    <t>1. Inputs</t>
  </si>
  <si>
    <t>Link to Section</t>
  </si>
  <si>
    <t>Section 1.1</t>
  </si>
  <si>
    <t>Inputs Sheet</t>
  </si>
  <si>
    <t>Section 1.2</t>
  </si>
  <si>
    <t>Section 1.3</t>
  </si>
  <si>
    <t>2. Revenue</t>
  </si>
  <si>
    <t>Section 2.1</t>
  </si>
  <si>
    <t>Transpower IPP determination 2025, Part 5, clause 26.1.2</t>
  </si>
  <si>
    <t>Section 2.2</t>
  </si>
  <si>
    <t>Transpower IPP determination 2025, Schedule D</t>
  </si>
  <si>
    <t>3. Revenue Building Blocks</t>
  </si>
  <si>
    <t>Section 3.1</t>
  </si>
  <si>
    <t>Transpower IPP determination 2025, Part 5, clause 26.1.3, Schedule D</t>
  </si>
  <si>
    <t>Section 3.2</t>
  </si>
  <si>
    <t>Transpower IPP determination 2025, Part 5, clause 25.2.1(d), 26.1.1, 32.1 and Schedule E</t>
  </si>
  <si>
    <t>Section 3.3</t>
  </si>
  <si>
    <t>4. Regulatory Asset Base (RAB)</t>
  </si>
  <si>
    <t>Section 4.1</t>
  </si>
  <si>
    <t>Transpower IPP determination 2025, Part 5, clause 32.1.2 - 32.1.4</t>
  </si>
  <si>
    <t>Section 4.2</t>
  </si>
  <si>
    <t>Transpower IPP determination 2025, Part 5, clause 32.1.5</t>
  </si>
  <si>
    <t>Section 4.3</t>
  </si>
  <si>
    <t>Transpower IPP determination 2025, Part 5, clause 32.1.6</t>
  </si>
  <si>
    <t>5. Base Capex Allowance</t>
  </si>
  <si>
    <t>Section 5.1</t>
  </si>
  <si>
    <t>Transpower IPP determination 2025, Part 5, clause 26.1.8 - 26.1.9</t>
  </si>
  <si>
    <t>6. Base Capex Disparities Adjustments</t>
  </si>
  <si>
    <t>Section 6.1</t>
  </si>
  <si>
    <t>Transpower IPP determination 2025, Part 5, clause 32.1 - 32.2, 36.2</t>
  </si>
  <si>
    <t>Section 6.2</t>
  </si>
  <si>
    <t>Transpower IPP determination 2025, Part 5, clause 32.2.7 - 34.2.9</t>
  </si>
  <si>
    <t>Section 6.3</t>
  </si>
  <si>
    <t>Transpower IPP determination 2025, Part 5, clause 34.1.3(g)</t>
  </si>
  <si>
    <t>7. Base and Major Capex Adjustment</t>
  </si>
  <si>
    <t>Section 7.1</t>
  </si>
  <si>
    <t>Section 7.2</t>
  </si>
  <si>
    <t>Transpower IPP determination 2025, Part 5, clause 34.1.3(h)</t>
  </si>
  <si>
    <t>8. Operational expenditure (opex)</t>
  </si>
  <si>
    <t>Section 8.1</t>
  </si>
  <si>
    <t>Transpower IPP determination 2025, Part 5, clause 32.1.7, 36.2</t>
  </si>
  <si>
    <t>Section 9.1</t>
  </si>
  <si>
    <t>Transpower IPP determination 2025, Part 5, clause 26.1.7</t>
  </si>
  <si>
    <t>Section 9.2</t>
  </si>
  <si>
    <t>10. Economic Value Account (EV Account)</t>
  </si>
  <si>
    <t>Section 10.1</t>
  </si>
  <si>
    <t>Transpower IPP determination 2025, Part 5, clause 26.1.5</t>
  </si>
  <si>
    <t>Section 10.2</t>
  </si>
  <si>
    <t>Transpower IPP determination 2025, Part 5, clause 34.1.1 (c), 34.1.3</t>
  </si>
  <si>
    <t>Section 10.3</t>
  </si>
  <si>
    <t xml:space="preserve">Transpower IPP determination 2025, Part 5, clause 34.1 - 34.2 </t>
  </si>
  <si>
    <t>11. Pass-through and Recoverable Costs</t>
  </si>
  <si>
    <t>Section 11.1</t>
  </si>
  <si>
    <t>Transpower IPP determination 2025, Part 5, clause 26.1.6, Schedule H</t>
  </si>
  <si>
    <t>Section 11.2</t>
  </si>
  <si>
    <t>Transpower IPP determination 2025, Part 5, clause 26.1.6(a)</t>
  </si>
  <si>
    <t>Section 11.3</t>
  </si>
  <si>
    <t>Transpower IPP determination 2025, Part 5, clause 26.1.6(b)</t>
  </si>
  <si>
    <t>12. Regulatory Tax Calculation</t>
  </si>
  <si>
    <t>Section 12.1</t>
  </si>
  <si>
    <t>Transpower IPP determination 2025, Part 5, clause 31.1.8 - 32.1.9</t>
  </si>
  <si>
    <t>13. Revenue Linked Quality Standards</t>
  </si>
  <si>
    <t>Section 13.1</t>
  </si>
  <si>
    <t>Transpower IPP determination 2025, Part 5, clause 14.1 and 15.1</t>
  </si>
  <si>
    <t>14. Quality Standards</t>
  </si>
  <si>
    <t>Section 14.1</t>
  </si>
  <si>
    <t>Transpower IPP determination 2025, clause 14.1.1 and 15.1-4</t>
  </si>
  <si>
    <t>Section 14.2</t>
  </si>
  <si>
    <t>Transpower IPP determination 2025, Part 5, clause 16.1 and 17.1</t>
  </si>
  <si>
    <t>Section 1.4.3</t>
  </si>
  <si>
    <t>Transpower IPP determination 2025, Part 5, clause 18.1 - 18.4</t>
  </si>
  <si>
    <t>Section 14.4</t>
  </si>
  <si>
    <t>Transpower IPP determination 2025, Part 5, clause 19.1 - 19.2</t>
  </si>
  <si>
    <t>Section 14.5</t>
  </si>
  <si>
    <t>Transpower IPP determination 2025, Part 5, clause 22.1 - 22.2, 23</t>
  </si>
  <si>
    <t xml:space="preserve">Information to Accompany the Annual Compliance Statement </t>
  </si>
  <si>
    <t xml:space="preserve">
15. Normalisation events, AP outside the collar, AH compliance</t>
  </si>
  <si>
    <t>Section 15.1</t>
  </si>
  <si>
    <t>Transpower IPP determination 2025, Part 5, clause 15.3, 17.3, 18.2, 19.2, 21.1, 21.4</t>
  </si>
  <si>
    <t>Section 15.2</t>
  </si>
  <si>
    <t>Transpower IPP determination 2025, Part 5, clause 30.1.1</t>
  </si>
  <si>
    <t>Section 15.3</t>
  </si>
  <si>
    <t>Transpower IPP determination 2025, Part 5, clause 28.2, 30.1.2</t>
  </si>
  <si>
    <t xml:space="preserve">
16. Customer Measures</t>
  </si>
  <si>
    <t>Section 16.1</t>
  </si>
  <si>
    <t>Transpower IPP determination 2025, Part 5, clause 30.2.1 - 30.2.9</t>
  </si>
  <si>
    <t>Section 16.2</t>
  </si>
  <si>
    <t>Transpower IPP determination 2025, Part 5, clause 27.1.4</t>
  </si>
  <si>
    <t>17. Quality Standards</t>
  </si>
  <si>
    <t>Section 17.1</t>
  </si>
  <si>
    <t>Section 17.2</t>
  </si>
  <si>
    <t>Transpower IPP determination 2025, Part 5, clause 27.1.1</t>
  </si>
  <si>
    <t>Section 17.3</t>
  </si>
  <si>
    <t>Transpower IPP determination 2025, Part 5, clause 27.1.2</t>
  </si>
  <si>
    <t>Section 17.4</t>
  </si>
  <si>
    <t>Transpower IPP determination 2025, Part 5, clause 27.1.3</t>
  </si>
  <si>
    <t>Section 17.5</t>
  </si>
  <si>
    <t>Transpower IPP determination 2025, Part 5, clause 27.1.5</t>
  </si>
  <si>
    <t>Section 17.6</t>
  </si>
  <si>
    <t>Transpower IPP determination 2025, Part 5, clause 30.3</t>
  </si>
  <si>
    <t>Section 17.7</t>
  </si>
  <si>
    <t>Transpower IPP determination 2025, Part 5, clause 27.1.6</t>
  </si>
  <si>
    <t>Annual Compliance Statement 
1. Inputs in to the ACS</t>
  </si>
  <si>
    <t>1.1 - Basis of Preparation</t>
  </si>
  <si>
    <t>Transpower annual compliance statement is prepared:
- in accordance with Transpower's Individual Price Quality Path Determination 2025; with reference to the Transpower Input Methodologies Determination 4June 2026 and Transpower Capital Expenditure Methodologies Determination 4 June 2026
- in millions of New Zealand dollars (NZD), unless otherwise noted.</t>
  </si>
  <si>
    <t>1.2 - Regulatory Inputs</t>
  </si>
  <si>
    <t>Table 1.2.1</t>
  </si>
  <si>
    <t>Rate</t>
  </si>
  <si>
    <t xml:space="preserve">Reference </t>
  </si>
  <si>
    <t>Corporate tax rate</t>
  </si>
  <si>
    <t>Income Tax Act 2007 as referenced in the Transpower Input Methodologies</t>
  </si>
  <si>
    <t>WACC 65th Percentile</t>
  </si>
  <si>
    <t>Cost of capital determination for electricity distribution businesses' default price-quality path commencing 2025 and Transpower New Zealand Limited's 2025-2030 individual price-quality path</t>
  </si>
  <si>
    <t>WACC Mid point</t>
  </si>
  <si>
    <t>Post tax WACC</t>
  </si>
  <si>
    <t>Base Capex Standard Incentive rate</t>
  </si>
  <si>
    <t>Transpower Input Methodology 2025</t>
  </si>
  <si>
    <t>Base Capex low Incentive rate</t>
  </si>
  <si>
    <t>1.3 - Inflation inputs</t>
  </si>
  <si>
    <t>Calculation of inflation actual outturn for the RCP4 period</t>
  </si>
  <si>
    <r>
      <t>Disclosure year</t>
    </r>
    <r>
      <rPr>
        <b/>
        <sz val="10"/>
        <color theme="0" tint="-0.499984740745262"/>
        <rFont val="Calibri"/>
        <family val="2"/>
      </rPr>
      <t xml:space="preserve"> (finishing June)</t>
    </r>
  </si>
  <si>
    <t>Table 1.3.1</t>
  </si>
  <si>
    <t>CPI assumptions</t>
  </si>
  <si>
    <t>Source reference</t>
  </si>
  <si>
    <t>As per IPP determination</t>
  </si>
  <si>
    <t xml:space="preserve">Rate </t>
  </si>
  <si>
    <t>Transpower IPP determination 2025 Schedule C8</t>
  </si>
  <si>
    <t>A</t>
  </si>
  <si>
    <t xml:space="preserve">Index </t>
  </si>
  <si>
    <t>calculated</t>
  </si>
  <si>
    <t>Actual outturn</t>
  </si>
  <si>
    <t>Statistics New Zealand</t>
  </si>
  <si>
    <t>B</t>
  </si>
  <si>
    <t>Calculation of Revaluation Rate and Revaluation of Assets</t>
  </si>
  <si>
    <t>Table 1.3.2</t>
  </si>
  <si>
    <r>
      <t>CPI</t>
    </r>
    <r>
      <rPr>
        <vertAlign val="subscript"/>
        <sz val="11"/>
        <rFont val="Calibri"/>
        <family val="2"/>
      </rPr>
      <t>4</t>
    </r>
  </si>
  <si>
    <t>Statistics New Zealand - As at 30 June 2026</t>
  </si>
  <si>
    <r>
      <t>CPI</t>
    </r>
    <r>
      <rPr>
        <vertAlign val="subscript"/>
        <sz val="11"/>
        <rFont val="Calibri"/>
        <family val="2"/>
      </rPr>
      <t>4</t>
    </r>
    <r>
      <rPr>
        <vertAlign val="superscript"/>
        <sz val="11"/>
        <rFont val="Calibri"/>
        <family val="2"/>
      </rPr>
      <t>-4</t>
    </r>
  </si>
  <si>
    <t>Statistics New Zealand - As at 30 June 2025</t>
  </si>
  <si>
    <t>Revaluation rate (%)</t>
  </si>
  <si>
    <t>Revenue and Expenditure</t>
  </si>
  <si>
    <t>(Including other financial considerations such as the EV account, pass-though and recoverable costs, and Tax)</t>
  </si>
  <si>
    <t>Annual Compliance Statement 
2. Forecast revenue, Other regulated income and Revenue allowances per the IPP</t>
  </si>
  <si>
    <t>2.1 - Revenue for electricity transmission services used for setting charges under the TPM</t>
  </si>
  <si>
    <t>Transpower's revenue allowance is approved under the IPP as at November 2024 effective for the disclosure years ending 30 June 2026 - 30 June 2030. 
As part of the IPP, Transpower is eligible to apply for reopeners to its individual price-quality including a change in its revenue allowances. 
Under the IPP, Transpower updates Schedule A as part of its reopener application.</t>
  </si>
  <si>
    <t>IPP Reference: 26.1.2 the forecast revenue for electricity transmission services that Transpower used for setting charges under the TPM for the relevant pricing year</t>
  </si>
  <si>
    <t>Table 2.1.1</t>
  </si>
  <si>
    <t>Total</t>
  </si>
  <si>
    <t>Forecast revenue applied to the TPM</t>
  </si>
  <si>
    <t>Table 2.1.2</t>
  </si>
  <si>
    <t>IPP Reference: Under the IPP Transpower is not required to disclose this schedule as part of the ACS, this is reported for completeness and comparative purposes</t>
  </si>
  <si>
    <t>IPP Schedule A: Summary of forecast MAR and forecast SMAR</t>
  </si>
  <si>
    <t xml:space="preserve">Forecast MAR applied to pricing years in RCP4 ending </t>
  </si>
  <si>
    <t>Forecast MAR is calculated based on building block values for the disclosure year ending</t>
  </si>
  <si>
    <t>Initial determined value of forecast MAR for pricing year</t>
  </si>
  <si>
    <t>Incremental update to forecast MAR determined in 2025</t>
  </si>
  <si>
    <t>Incremental update to forecast MAR determined in 2026</t>
  </si>
  <si>
    <t>Incremental update to forecast MAR determined in 2027</t>
  </si>
  <si>
    <t>Incremental update to forecast MAR determined in 2028</t>
  </si>
  <si>
    <t>Total forecast MAR applicable to the pricing year (sum of amounts in columns 3 to 7)</t>
  </si>
  <si>
    <t>Forecast SMAR applicable to the pricing years in RCP4</t>
  </si>
  <si>
    <t>Column 1</t>
  </si>
  <si>
    <t>Column 2</t>
  </si>
  <si>
    <t>Column 3</t>
  </si>
  <si>
    <t>Column 4</t>
  </si>
  <si>
    <t>Column 5</t>
  </si>
  <si>
    <t>Column 6</t>
  </si>
  <si>
    <t>Column 7</t>
  </si>
  <si>
    <t>Column 8</t>
  </si>
  <si>
    <t>Column 9</t>
  </si>
  <si>
    <t>31 March 2026 (Year 1)</t>
  </si>
  <si>
    <t>31 March 2027 (Year 2)</t>
  </si>
  <si>
    <t>31 March 2028 (Year 3)</t>
  </si>
  <si>
    <t>31 March 2029 (Year 4)</t>
  </si>
  <si>
    <t>31 March 2030 (Year 5)</t>
  </si>
  <si>
    <t>2.2 - Actual regulated electricity transmission revenue</t>
  </si>
  <si>
    <t>IPP Reference: 
26.1.3 the actual transmission revenue for the relevant pricing year and,
32.1.11 for actual revenues received by Transpower: 
(a) the actual transmission revenue received in the pricing year, as converted to a disclosure year value in accordance with clause 9.2; and 
(b) the sum of other regulated income received in the disclosure year;</t>
  </si>
  <si>
    <t>Table 2.2.1</t>
  </si>
  <si>
    <t>Transmission</t>
  </si>
  <si>
    <t>plus</t>
  </si>
  <si>
    <t>Connection Charges</t>
  </si>
  <si>
    <t>Benefit Based Charges</t>
  </si>
  <si>
    <t>Residual Charges</t>
  </si>
  <si>
    <t>Transitional Cap</t>
  </si>
  <si>
    <t>EV adjustment</t>
  </si>
  <si>
    <t>Other regulated income</t>
  </si>
  <si>
    <t>Transmission revenue received for the pricing year</t>
  </si>
  <si>
    <t>Annual Compliance Statement 
3. Revenue Building blocks calculation, and post economic gain / (loss) for the year</t>
  </si>
  <si>
    <t>3.1 - Full building blocks calculation of the forecast MAR for the disclosure year</t>
  </si>
  <si>
    <t xml:space="preserve">Transpower's forecast MAR is derived from the MAR building blocks in line with Schedule D of the IPP.
The details used in the creation of this table are pulled from the published revenue model for RCP4 published in November 2024 as well as the allowance in Schedule C4 and Schedule C7 in the IPP + reopeners. 
Refer to Table 5.1.4 for the updates to Schedule C4.
The table below is the public disclosure of the forecast update inline with 8.4.3 of the IPP, and is an update to the forecast MAR and SMAR for the year. </t>
  </si>
  <si>
    <t>IPP Reference: Under the IPP Transpower is not required to disclose this schedule as part of the ACS, this is reported for completeness</t>
  </si>
  <si>
    <t>Table 3.1.1</t>
  </si>
  <si>
    <t>IPP Schedule D: Forecast MAR building blocks calculation</t>
  </si>
  <si>
    <t> </t>
  </si>
  <si>
    <r>
      <rPr>
        <b/>
        <sz val="10"/>
        <color rgb="FF000000"/>
        <rFont val="Calibri"/>
        <family val="2"/>
      </rPr>
      <t>Forecast MAR</t>
    </r>
    <r>
      <rPr>
        <sz val="10"/>
        <color rgb="FF000000"/>
        <rFont val="Calibri"/>
        <family val="2"/>
      </rPr>
      <t xml:space="preserve"> - as determined in  IPP determination 2025</t>
    </r>
  </si>
  <si>
    <t>MAR building block
(forecast/ex-post</t>
  </si>
  <si>
    <t>Description of nominal value to be applied (forecast/ex-post)</t>
  </si>
  <si>
    <t>Schedule D reference</t>
  </si>
  <si>
    <t>Cash flow timing factor</t>
  </si>
  <si>
    <t>Total (nominal value)</t>
  </si>
  <si>
    <t>Total (building block value)</t>
  </si>
  <si>
    <t>Schedule D column</t>
  </si>
  <si>
    <t>WACC</t>
  </si>
  <si>
    <t>A1</t>
  </si>
  <si>
    <t>WACC return on opening RAB value</t>
  </si>
  <si>
    <t>Opening RAB value</t>
  </si>
  <si>
    <t>WACC return on value of commissioned assets - July</t>
  </si>
  <si>
    <t>Value of commissioned assets - July</t>
  </si>
  <si>
    <t>C1</t>
  </si>
  <si>
    <t>WACC return on value of commissioned assets - August</t>
  </si>
  <si>
    <t>Value of commissioned assets - August</t>
  </si>
  <si>
    <t>C2</t>
  </si>
  <si>
    <t>WACC return on value of commissioned assets - September</t>
  </si>
  <si>
    <t>Value of commissioned assets - September</t>
  </si>
  <si>
    <t>C3</t>
  </si>
  <si>
    <t>WACC return on value of commissioned assets - October</t>
  </si>
  <si>
    <t>Value of commissioned assets - October</t>
  </si>
  <si>
    <t>C4</t>
  </si>
  <si>
    <t>WACC return on value of commissioned assets - November</t>
  </si>
  <si>
    <t>Value of commissioned assets - November</t>
  </si>
  <si>
    <t>C5</t>
  </si>
  <si>
    <t>WACC return on value of commissioned assets - December</t>
  </si>
  <si>
    <t>Value of commissioned assets - December</t>
  </si>
  <si>
    <t>C6</t>
  </si>
  <si>
    <t>WACC return on value of commissioned assets - January</t>
  </si>
  <si>
    <t>Value of commissioned assets - January</t>
  </si>
  <si>
    <t>C7</t>
  </si>
  <si>
    <t>WACC return on value of commissioned assets - February</t>
  </si>
  <si>
    <t>Value of commissioned assets - February</t>
  </si>
  <si>
    <t>C8</t>
  </si>
  <si>
    <t>WACC return on value of commissioned assets - March</t>
  </si>
  <si>
    <t>Value of commissioned assets - March</t>
  </si>
  <si>
    <t>C9</t>
  </si>
  <si>
    <t>WACC return on value of commissioned assets - April</t>
  </si>
  <si>
    <t>Value of commissioned assets - April</t>
  </si>
  <si>
    <t>C10</t>
  </si>
  <si>
    <t>WACC return on value of commissioned assets - May</t>
  </si>
  <si>
    <t>Value of commissioned assets - May</t>
  </si>
  <si>
    <t>C11</t>
  </si>
  <si>
    <t>WACC return on value of commissioned assets - June</t>
  </si>
  <si>
    <t>Value of commissioned assets - June</t>
  </si>
  <si>
    <t>C12</t>
  </si>
  <si>
    <t>Total capital charge</t>
  </si>
  <si>
    <t>Sum of building blocks values from 1 to 17</t>
  </si>
  <si>
    <t>D</t>
  </si>
  <si>
    <t>Forecast revaluation</t>
  </si>
  <si>
    <t>E1</t>
  </si>
  <si>
    <t>Forecast depreciation</t>
  </si>
  <si>
    <t>Depreciation</t>
  </si>
  <si>
    <t>E2</t>
  </si>
  <si>
    <t>Operating expenditure</t>
  </si>
  <si>
    <t>F</t>
  </si>
  <si>
    <t>Tax</t>
  </si>
  <si>
    <t>Regulatory tax allowance</t>
  </si>
  <si>
    <t>G</t>
  </si>
  <si>
    <t>Term credit spread differential</t>
  </si>
  <si>
    <t>Term credit spread differential allowance</t>
  </si>
  <si>
    <t>H</t>
  </si>
  <si>
    <t>EV adjustment after tax gross-up</t>
  </si>
  <si>
    <t>I</t>
  </si>
  <si>
    <t>Pass-through costs</t>
  </si>
  <si>
    <t>J</t>
  </si>
  <si>
    <t>Recoverable costs - non-IRIS</t>
  </si>
  <si>
    <t>K1</t>
  </si>
  <si>
    <t>Recoverable costs - IRIS</t>
  </si>
  <si>
    <t>K2</t>
  </si>
  <si>
    <t>Total MAR</t>
  </si>
  <si>
    <t>Sum of building blocks values from 15 to 24</t>
  </si>
  <si>
    <t>3.2 - The ex-post economic gain or loss for the disclosure year</t>
  </si>
  <si>
    <t>The revenue wash-up is the difference between what Transpower is allowed to recover (Schedule D) and, given our actual expenditure and other regulated income (Schedule E), what we should recover.
The wash-up calculation is specified in detail in Schedule E of the IPP. This is a profit-based calculation which shows Transpower's after-tax economic gain or loss for the year relative to the regulatory RCP4 WACC (the capital charge). Any after-tax gain must be returned to customers in RCP5, and any losses can be recovered.</t>
  </si>
  <si>
    <t>IPP Reference: 26.1.1 the ex-post economic gain or loss for the disclosure year, calculated in accordance with clause 32.1 and Schedule E, including any supporting information</t>
  </si>
  <si>
    <t>Table 3.2.1</t>
  </si>
  <si>
    <t>Schedule E: Wash-up building blocks calculation</t>
  </si>
  <si>
    <t>Wash-up building block</t>
  </si>
  <si>
    <t>Description of nominal value to be applied</t>
  </si>
  <si>
    <t>Schedule E reference</t>
  </si>
  <si>
    <r>
      <t>Total</t>
    </r>
    <r>
      <rPr>
        <sz val="11"/>
        <color theme="1"/>
        <rFont val="Aptos Narrow"/>
        <family val="2"/>
        <scheme val="minor"/>
      </rPr>
      <t xml:space="preserve"> 
(wash-up value)</t>
    </r>
  </si>
  <si>
    <t>Schedule E column</t>
  </si>
  <si>
    <t>WACC  updated for actual CPI</t>
  </si>
  <si>
    <t xml:space="preserve">WACC updated to reflect the disparity between forecast CPI and actual CPI </t>
  </si>
  <si>
    <t xml:space="preserve">Opening RAB value </t>
  </si>
  <si>
    <t>WACC return on lost assets</t>
  </si>
  <si>
    <t>Opening RAB value of lost assets</t>
  </si>
  <si>
    <t>WACC return on found assets</t>
  </si>
  <si>
    <t>Value of found assets</t>
  </si>
  <si>
    <t>E</t>
  </si>
  <si>
    <t>WACC return on disposed assets</t>
  </si>
  <si>
    <t>Opening RAB value of disposed assets</t>
  </si>
  <si>
    <t>Total capital charge adjusted for CPI disparity</t>
  </si>
  <si>
    <t>Sum of wash-up values from B through F</t>
  </si>
  <si>
    <t>Difference</t>
  </si>
  <si>
    <t>Transmission revenues received</t>
  </si>
  <si>
    <t>Actual transmission revenue</t>
  </si>
  <si>
    <t xml:space="preserve">Voluntarily foregone revenues </t>
  </si>
  <si>
    <t>Transmission revenue foregone (permanent reduction)</t>
  </si>
  <si>
    <t>Revaluation</t>
  </si>
  <si>
    <t>Actual revaluation income</t>
  </si>
  <si>
    <t>Gain/loss on disposal of assets</t>
  </si>
  <si>
    <t>Disposal proceeds less opening RAB value for disposed assets (incl. impairments)</t>
  </si>
  <si>
    <t>L</t>
  </si>
  <si>
    <t>Total income</t>
  </si>
  <si>
    <t>Sum of wash-up values from H through L</t>
  </si>
  <si>
    <t>M</t>
  </si>
  <si>
    <t>Opex allowance (CPI adjusted)</t>
  </si>
  <si>
    <t>N</t>
  </si>
  <si>
    <t>Depreciation (excl. depreciation on disposed assets)</t>
  </si>
  <si>
    <t>O</t>
  </si>
  <si>
    <t>Term credit spread differential (TCSD)</t>
  </si>
  <si>
    <t>TCSD allowance</t>
  </si>
  <si>
    <t>P</t>
  </si>
  <si>
    <t>Pass-through costs (Schedule H, Formula F)</t>
  </si>
  <si>
    <t>Q</t>
  </si>
  <si>
    <t>Recoverable costs - non-IRIS (Schedule H, Formulae M - G )</t>
  </si>
  <si>
    <t>Recoverable costs - IRIS (Schedule H, Formula G)</t>
  </si>
  <si>
    <t>Net operating profit/loss before tax</t>
  </si>
  <si>
    <t>M and wash-up values from N through Q</t>
  </si>
  <si>
    <t>R</t>
  </si>
  <si>
    <t xml:space="preserve">S </t>
  </si>
  <si>
    <t>Net operating profit/loss after tax</t>
  </si>
  <si>
    <t>R and wash-up value from S</t>
  </si>
  <si>
    <t>T</t>
  </si>
  <si>
    <t>After-tax ex-post economic gain or loss</t>
  </si>
  <si>
    <t>G and T</t>
  </si>
  <si>
    <t>U</t>
  </si>
  <si>
    <t>Forecast EV adjustment included in forecast MAR</t>
  </si>
  <si>
    <t>Forecast EV adjustment before tax gross-up</t>
  </si>
  <si>
    <t>EV account entry</t>
  </si>
  <si>
    <t>U and S</t>
  </si>
  <si>
    <t>W</t>
  </si>
  <si>
    <t>3.3 - Transpower's voluntary revenue reductions applied to the Ex Post economic gain or loss</t>
  </si>
  <si>
    <t>IPP Reference: 26.1.4 a description and explanation of any voluntary revenue reduction Transpower has made in calculating the ex-post economic gain or loss for the disclosure year</t>
  </si>
  <si>
    <t>Annual Compliance Statement 
4.Regulatory Asset Base (RAB), Depreciation &amp; Indexation</t>
  </si>
  <si>
    <t>4.1 - RAB roll forward</t>
  </si>
  <si>
    <t xml:space="preserve">Transpower's RAB is its regulatory asset base, made up of the transmission assets commissioned as at 30 June of the disclosure year. The RAB is used as part of the calculations of Transpower's revenue washup into the EV account through the calculation of the ex- post economic gain or loss (wash up building blocks) in tab 3. </t>
  </si>
  <si>
    <t xml:space="preserve"> IPP Reference: 32.1 For the purposes of annually calculating the ex-post economic gain or loss, Transpower must use: 
32.1.2 the opening RAB value; 
32.1.3 the actual amounts by month of commissioning in the disclosure year for value of commissioned asset of approved base capex and major capex</t>
  </si>
  <si>
    <t>Table 4.1.1</t>
  </si>
  <si>
    <t>Opening RAB balance</t>
  </si>
  <si>
    <t>plus/less</t>
  </si>
  <si>
    <t>prior year adjustments</t>
  </si>
  <si>
    <t>less</t>
  </si>
  <si>
    <t xml:space="preserve">Asset write-offs and disposals </t>
  </si>
  <si>
    <t>Lost assets</t>
  </si>
  <si>
    <t>Found assets</t>
  </si>
  <si>
    <t>miscellaneous immaterial adjustments</t>
  </si>
  <si>
    <t>Closing RAB balance</t>
  </si>
  <si>
    <t>Table 4.1.2</t>
  </si>
  <si>
    <t>Net book value of disposed assets (incl. impairments)</t>
  </si>
  <si>
    <t>Proceeds from disposed assets</t>
  </si>
  <si>
    <t>Other adjustments</t>
  </si>
  <si>
    <t xml:space="preserve">Note: This closing RAB balance reconciles exactly to the numbers in Transpower's to the information disclosures (see note regarding pseudo asset explanation under Table 4.2.1). They are not however equal to the numbers in the financial statements, because the RAB excludes customer-funded assets and assets relating to other unregulated lines of business. 
</t>
  </si>
  <si>
    <t>4.2 - Depreciation</t>
  </si>
  <si>
    <t>Transpower calculates its depreciation including any capitalised interest adjustments required to align Transpower’s borrowing costs capitalised on its works under construction.</t>
  </si>
  <si>
    <t>IPP Reference: 32.1 For the purposes of annually calculating the ex-post economic gain or loss, Transpower must use:  
32.1.5 - depreciation, including any capitalised interest adjustments required to align Transpower’s borrowing costs capitalised on its works under construction with the requirements of clause 2.2.10(3)(c) of the Transpower IM.</t>
  </si>
  <si>
    <t>Table 4.2.1</t>
  </si>
  <si>
    <t xml:space="preserve">Total GAAP depreciation </t>
  </si>
  <si>
    <t>Pseudo asset depreciation</t>
  </si>
  <si>
    <t>Dismantling &amp; other write offs</t>
  </si>
  <si>
    <t>Capitalised interest depreciation adjustment</t>
  </si>
  <si>
    <t>Table 4.2.2</t>
  </si>
  <si>
    <t>Total capitalised interest @ GAAP</t>
  </si>
  <si>
    <t>Capitalised interest rate used during the year</t>
  </si>
  <si>
    <t>C = A/B</t>
  </si>
  <si>
    <t>Gross-up of capitalised interest</t>
  </si>
  <si>
    <t>Weighted average borrowing cost</t>
  </si>
  <si>
    <t>E = C*D</t>
  </si>
  <si>
    <t>Allowed capitalised interest</t>
  </si>
  <si>
    <t>E-A</t>
  </si>
  <si>
    <t>4.3 - Revaluation</t>
  </si>
  <si>
    <t xml:space="preserve">As part of the RCP 4 application, Transpower was granted the ability through the Transpower Consolidated IMs to index its RAB to allow the asset base to maintain its value in line with inflation. The indexation is treated as revaluation income to Transpower's revenue and is calculated through the difference in the current year Q4 and prior year Q4 inflation values. </t>
  </si>
  <si>
    <t>IPP Reference: 32.1 For the purposes of annually calculating the ex-post economic gain or loss, Transpower must use:  
32.1.6- the actual revaluation, treated as income in accordance with clause 2.2.9 of the Transpower IM.</t>
  </si>
  <si>
    <t>Table 4.3.1</t>
  </si>
  <si>
    <t>C</t>
  </si>
  <si>
    <t>Value to apply revaluation to:</t>
  </si>
  <si>
    <t>Revaluation rate</t>
  </si>
  <si>
    <t>G=E*F</t>
  </si>
  <si>
    <t>Revaluation income</t>
  </si>
  <si>
    <t>Annual Compliance Statement 
5. Approved Base Capex</t>
  </si>
  <si>
    <t>5.1 - Updated summaries of the approved base capex as set out in Schedules C1 to C4</t>
  </si>
  <si>
    <t>Transpower's base capex allowance is approved under the IPP as at November 2024 effective for the disclosure years ending 30 June 2026-30 June 2030. As part of the IPP, Transpower is eligible to apply for reopeners to its individual price-quality including a change in its base capex allowances. Under the IPP, Transpower is required to disclose its updated allowances in the form of the below schedules as incrementally applicable after each reopener application.</t>
  </si>
  <si>
    <t>IPP Reference: 26.1.8 updated summaries of the approved base capex as set out in Schedules C1 to C4;</t>
  </si>
  <si>
    <t>Table 5.1.1</t>
  </si>
  <si>
    <t>IPP Schedule C1: Approved low incentive rate base capex summary - commissioned basis (including capitalised operating leases)</t>
  </si>
  <si>
    <t>Disclosure year ending</t>
  </si>
  <si>
    <t>Value of low incentive rate base capex allowance as determined 29 August 2024</t>
  </si>
  <si>
    <t>Incremental approved low incentive rate listed project base capex determined in 2025</t>
  </si>
  <si>
    <t>Incremental approved low incentive rate listed project base capex determined in 2026</t>
  </si>
  <si>
    <t>Incremental approved low incentive rate listed project base capex determined in 2027</t>
  </si>
  <si>
    <t>Incremental approved low incentive rate listed project base capex determined in 2028</t>
  </si>
  <si>
    <t>Approved low incentive rate base capex allowance for purposes of forecast MAR in the disclosure year</t>
  </si>
  <si>
    <t>Table 5.1.2</t>
  </si>
  <si>
    <t>IPP Schedule C2: Approved standard incentive rate base capex summary - commissioned basis (including capitalised operating leases)</t>
  </si>
  <si>
    <t>Value of standard incentive rate base capex allowance as determined 29 August 2024</t>
  </si>
  <si>
    <t>Incremental approved standard incentive rate listed project base capex determined in 2025</t>
  </si>
  <si>
    <t>Incremental approved standard incentive rate listed project base capex determined in 2026</t>
  </si>
  <si>
    <t>Incremental approved standard incentive rate listed project base capex determined in 2027</t>
  </si>
  <si>
    <t>Incremental approved standard incentive rate listed project base capex determined in 2028</t>
  </si>
  <si>
    <t>Approved standard incentive rate base capex allowance for purposes of forecast MAR in the disclosure year</t>
  </si>
  <si>
    <t>Table 5.1.3</t>
  </si>
  <si>
    <t>IPP Schedule C3: Approved low incentive rate base capex summary - expenditure basis (excluding capitalised operating leases)</t>
  </si>
  <si>
    <t>Table 5.1.4</t>
  </si>
  <si>
    <t>IPP Schedule C4: Approved standard incentive rate base capex summary - expenditure basis (excluding capitalised operating leases)</t>
  </si>
  <si>
    <t>Annual Compliance Statement 
6. Standard incentive rate base capex - adjustments for CPI and foreign currency disparity</t>
  </si>
  <si>
    <t>6.1 - Standard incentive rate base capex allowance - adjusted for actual CPI expenditure basis (excluding capitalised operating leases)</t>
  </si>
  <si>
    <t>Under the IPP, Transpower is compensated for the disparity between the CPI forecast as used in the IPP application and the actual CPI for each  since the base capex allowance was set. The allowances table 6.1.1 is based on the schedules within tab 6 as set out in the IPP and account for reopeners made by Transpower. Amounts are reflected in equivalent dollars to the original allowance or reopener updated allowance and are therefore subject to the CPI adjustment.</t>
  </si>
  <si>
    <t>Table 6.1.1</t>
  </si>
  <si>
    <t>Item</t>
  </si>
  <si>
    <r>
      <t>Disclosure year</t>
    </r>
    <r>
      <rPr>
        <i/>
        <sz val="10"/>
        <color theme="0" tint="-0.499984740745262"/>
        <rFont val="Calibri"/>
        <family val="2"/>
      </rPr>
      <t xml:space="preserve"> (finishing June)</t>
    </r>
  </si>
  <si>
    <t>C + F</t>
  </si>
  <si>
    <r>
      <t xml:space="preserve">Nominal forecast </t>
    </r>
    <r>
      <rPr>
        <sz val="10"/>
        <color theme="0" tint="-0.499984740745262"/>
        <rFont val="Calibri"/>
        <family val="2"/>
      </rPr>
      <t>(as per IPP determination)</t>
    </r>
  </si>
  <si>
    <t>Base capex allowance incl. reopeners
(standard incentive rate)</t>
  </si>
  <si>
    <t>Schedule C4</t>
  </si>
  <si>
    <t>D + G</t>
  </si>
  <si>
    <r>
      <t xml:space="preserve">Real forecast </t>
    </r>
    <r>
      <rPr>
        <sz val="10"/>
        <color theme="0" tint="-0.499984740745262"/>
        <rFont val="Calibri"/>
        <family val="2"/>
      </rPr>
      <t>(as per IPP determination - 2023 based)</t>
    </r>
  </si>
  <si>
    <t>E + H</t>
  </si>
  <si>
    <r>
      <t xml:space="preserve">Nominal forecast </t>
    </r>
    <r>
      <rPr>
        <sz val="10"/>
        <color theme="0" tint="-0.499984740745262"/>
        <rFont val="Calibri"/>
        <family val="2"/>
      </rPr>
      <t>(as per actual CPI outturn)</t>
    </r>
  </si>
  <si>
    <t>calculated - when actual CPI is available</t>
  </si>
  <si>
    <t xml:space="preserve">6.2 - Standard incentive rate base capex allowance paid for in foreign currency - expenditure basis (excluding capitalised operating leases) </t>
  </si>
  <si>
    <t>Transpower's has a significant amount of capex paid for in foreign currency. The IPP sets Transpower's allowances using a forecast foreign exchange rate with Transpower having the ability to calculate a wash up on its foreign exchange transactions for the actual gain or loss as a result of the difference between the forecast FX per the IPP and the weighted average exchange rate calculated during the disclosure year.</t>
  </si>
  <si>
    <t>Table 6.2.1</t>
  </si>
  <si>
    <t xml:space="preserve">FX assumptions </t>
  </si>
  <si>
    <t>Forecast FX rate (as per IPP clause 34.2.7 and 34.2.8)</t>
  </si>
  <si>
    <t>US$/NZ$</t>
  </si>
  <si>
    <t>Transpower IPP determination 2025, Part 5, clause 34.2.7(a) - (e)</t>
  </si>
  <si>
    <t>A2</t>
  </si>
  <si>
    <t>EUR/NZ$</t>
  </si>
  <si>
    <t>Transpower IPP determination 2025, Part 5, clause 34.2.8(a)</t>
  </si>
  <si>
    <t>A3</t>
  </si>
  <si>
    <t>GBP/NZ$</t>
  </si>
  <si>
    <t>Transpower IPP determination 2025, Part 5, clause 34.2.8(b)</t>
  </si>
  <si>
    <t>A4</t>
  </si>
  <si>
    <t>AU$/NZ$</t>
  </si>
  <si>
    <t>Transpower IPP determination 2025, Part 5, clause 34.2.8(c)</t>
  </si>
  <si>
    <t>A5</t>
  </si>
  <si>
    <t>JPY/NZ$</t>
  </si>
  <si>
    <t>Transpower IPP determination 2025, Part 5, clause 34.2.8(d)</t>
  </si>
  <si>
    <t>A6</t>
  </si>
  <si>
    <t>SEK/NZ$</t>
  </si>
  <si>
    <t>Transpower IPP determination 2025, Part 5, clause 34.2.8(e)</t>
  </si>
  <si>
    <t>A7</t>
  </si>
  <si>
    <t>CA$/NZ$</t>
  </si>
  <si>
    <t>Transpower IPP determination 2025, Part 5, clause 34.2.8(f)</t>
  </si>
  <si>
    <t>Actual FX rate (as per Transpower Capex IM)</t>
  </si>
  <si>
    <t>B1</t>
  </si>
  <si>
    <t>weighted average exchange rate obtained by Transpower in its US$ transactions</t>
  </si>
  <si>
    <t>B2</t>
  </si>
  <si>
    <t>weighted average exchange rate obtained by Transpower in its EUR transactions</t>
  </si>
  <si>
    <t>B3</t>
  </si>
  <si>
    <t>weighted average exchange rate obtained by Transpower in its GBP transactions</t>
  </si>
  <si>
    <t>B4</t>
  </si>
  <si>
    <t>weighted average exchange rate obtained by Transpower in its AU$ transactions</t>
  </si>
  <si>
    <t>B5</t>
  </si>
  <si>
    <t>weighted average exchange rate obtained by Transpower in its JPY transactions</t>
  </si>
  <si>
    <t>B6</t>
  </si>
  <si>
    <t>weighted average exchange rate obtained by Transpower in its SEK transactions</t>
  </si>
  <si>
    <t>B7</t>
  </si>
  <si>
    <t>weighted average exchange rate obtained by Transpower in its CA$ transactions</t>
  </si>
  <si>
    <t>Table 6.2.2</t>
  </si>
  <si>
    <t>Paid in (Currency)</t>
  </si>
  <si>
    <t>Amount of the standard incentive rate base capex allowance to which the forecast FX rate applies</t>
  </si>
  <si>
    <t>USD</t>
  </si>
  <si>
    <t>Table 5.1 (total amount); Transpower allocation to HVAC and HVDC</t>
  </si>
  <si>
    <t>EUR</t>
  </si>
  <si>
    <t>GBP</t>
  </si>
  <si>
    <t>AUD</t>
  </si>
  <si>
    <t>JPY</t>
  </si>
  <si>
    <t>SEK</t>
  </si>
  <si>
    <t>CAD</t>
  </si>
  <si>
    <t>I = Sum of C1 to C7</t>
  </si>
  <si>
    <t>Amount of the standard incentive rate base capex allowance adjusted for the actual FX rate</t>
  </si>
  <si>
    <t>D1 = C1 * A1 / B1</t>
  </si>
  <si>
    <t>D2 = C2 * A2 / B2</t>
  </si>
  <si>
    <t>D3 = C3 * A3 / B3</t>
  </si>
  <si>
    <t>D4 = C4 * A4 / B4</t>
  </si>
  <si>
    <t>D5 = C5 * A5 / B5</t>
  </si>
  <si>
    <t>D6 = C6 * A6 / B6</t>
  </si>
  <si>
    <t>D7 = C7 * A7 / B7</t>
  </si>
  <si>
    <t>J = Sum of D1 to D7</t>
  </si>
  <si>
    <t>Difference due to actual FX outturn</t>
  </si>
  <si>
    <t>6.3 - Details of any changes to Transpower's policy of hedging capital expenditure during the disclosure year</t>
  </si>
  <si>
    <t>Transpower uses foreign exchange contracts to manage foreign exchange risk on operational transactions in accordance with the Transpower Group Treasury policy. Foreign exchange forwards are used to hedge the value back to New Zealand dollars.</t>
  </si>
  <si>
    <t>IPP Reference: 26.1.9 details of any changes to Transpower's policy of hedging capital expenditure during the disclosure year</t>
  </si>
  <si>
    <t>No changes.</t>
  </si>
  <si>
    <t>Annual Compliance Statement 
7. Standard incentive rate base capex and major capex adjustments</t>
  </si>
  <si>
    <t>7.1 - Calculation of base capex adjustment</t>
  </si>
  <si>
    <t>In line with IPP clause 34.1.3(g), Transpower disclosed the after-tax economic gain or loss of a base capex expenditure adjustment, calculated in accordance with Schedule B, clause B1(1) of the Capex IM</t>
  </si>
  <si>
    <t>IPP Reference: 34.1 For the purposes of providing the information specified in clause 26.1.5 for the disclosure year, the updated summary of the EV account must show the source of calculation of the EV account entries 34.1.3(g) the after-tax economic gain or loss of a base capex expenditure adjustment, calculated in accordance with Schedule B, clause B1(1) of the Capex IM</t>
  </si>
  <si>
    <t>Table 7.1.1</t>
  </si>
  <si>
    <t>Description</t>
  </si>
  <si>
    <t xml:space="preserve">Total </t>
  </si>
  <si>
    <t>Standard incentive rate base capex expenditure adjustment</t>
  </si>
  <si>
    <t>Low incentive rate base capex expenditure adjustment</t>
  </si>
  <si>
    <t>Base capex expenditure adjustment</t>
  </si>
  <si>
    <t>Table 7.1.2</t>
  </si>
  <si>
    <t>Specification</t>
  </si>
  <si>
    <t>Capex IM Schedule B, Clause B1 (2)</t>
  </si>
  <si>
    <t>discrete input</t>
  </si>
  <si>
    <t>Base capex standard incentive rate</t>
  </si>
  <si>
    <t>(1 - (1 / ((1 + vanilla WACC)^6))) * 100%</t>
  </si>
  <si>
    <t>a</t>
  </si>
  <si>
    <t>Adjusted standard incentive rate base capex allowance</t>
  </si>
  <si>
    <t>d + d' + e + f + h</t>
  </si>
  <si>
    <t>b</t>
  </si>
  <si>
    <t>Base capex subject to the base capex standard incentive rate</t>
  </si>
  <si>
    <t>Base capex annual information required by an ID determination or a s 53ZD notice</t>
  </si>
  <si>
    <t>c</t>
  </si>
  <si>
    <t>Standard incentive rate base capex allowance</t>
  </si>
  <si>
    <t>In accordance with clause 2.2.2(1)(a) of the Transpower Capex IM Determination 2012</t>
  </si>
  <si>
    <t>d</t>
  </si>
  <si>
    <t>Approved base capex in respect of listed projects subject to the base capex standard incentive rate</t>
  </si>
  <si>
    <t>In accordance with clause 3.2.3(5)(d) of the Transpower Capex IM Determination 2012</t>
  </si>
  <si>
    <t>d'</t>
  </si>
  <si>
    <t>e</t>
  </si>
  <si>
    <t>Adjustment correcting for disparity between forecast FX rates and actual FX rates for each relevant currency in respect of d and d'</t>
  </si>
  <si>
    <t>f</t>
  </si>
  <si>
    <t>Adjusted standard incentive rate base capex allowance b to which the base capex standard incentive rate a does not apply</t>
  </si>
  <si>
    <t>g</t>
  </si>
  <si>
    <t>Adjustment, after correcting for the applicable portions of e and f, in respect of the portion of d that is subject to the base capex allowance adjustment mechanism</t>
  </si>
  <si>
    <t>Specified in an IPP determination</t>
  </si>
  <si>
    <t>h</t>
  </si>
  <si>
    <t>Net standard incentive rate base capex subject to the standard incentive rate</t>
  </si>
  <si>
    <t>b - c - g</t>
  </si>
  <si>
    <t>i</t>
  </si>
  <si>
    <t>a * i</t>
  </si>
  <si>
    <t>note: d` and i are not defined terms in Schedule B1. Included here to increase transparency.</t>
  </si>
  <si>
    <t>Table 7.1.3</t>
  </si>
  <si>
    <t>Schedule B1 (3) Term</t>
  </si>
  <si>
    <t>Fixed input</t>
  </si>
  <si>
    <t>Base capex standard low rate</t>
  </si>
  <si>
    <t>a*</t>
  </si>
  <si>
    <t>Adjusted low incentive rate base capex allowance</t>
  </si>
  <si>
    <t>d* + d'* + e* + f*</t>
  </si>
  <si>
    <t>b*</t>
  </si>
  <si>
    <t>Base capex subject to the base capex low incentive rate</t>
  </si>
  <si>
    <t>c*</t>
  </si>
  <si>
    <t xml:space="preserve">Low incentive rate base capex allowance </t>
  </si>
  <si>
    <t>d*</t>
  </si>
  <si>
    <t>Approved base capex in respect of listed projects subject to the base capex low incentive rate</t>
  </si>
  <si>
    <t>d'*</t>
  </si>
  <si>
    <t>Adjustment correcting for disparity between forecast CPI and actual CPI in respect of d* and d'*</t>
  </si>
  <si>
    <t>e*</t>
  </si>
  <si>
    <t>Adjustment correcting for disparity between forecast FX rates and actual FX rates for each relevant currency in respect of d* and d'*</t>
  </si>
  <si>
    <t>f*</t>
  </si>
  <si>
    <t>Adjusted low incentive rate base capex allowance b to which the base capex standard incentive rate a does not apply</t>
  </si>
  <si>
    <t>g*</t>
  </si>
  <si>
    <t>Net low incentive rate base capex subject to the low incentive rate</t>
  </si>
  <si>
    <t>b* - c* - g*</t>
  </si>
  <si>
    <t>h*</t>
  </si>
  <si>
    <t>(a*) * (h*)</t>
  </si>
  <si>
    <t>7.2 - Calculation of major capex expenditure and output adjustment</t>
  </si>
  <si>
    <t>In line with IPP clause 34.1.3(h), Transpower disclosed the after-tax economic gain or loss of a major capex expenditure and output adjustment, calculated in accordance with Schedule B, clause B3(1) of the Capex IM</t>
  </si>
  <si>
    <t>Table 7.2.1</t>
  </si>
  <si>
    <t>all $m</t>
  </si>
  <si>
    <t>Schedule B3 (3) Term</t>
  </si>
  <si>
    <t>Major capex incentive rate for the approved MCP</t>
  </si>
  <si>
    <t>In accordance with clause 3.3.5(7) of the Transpower Capex IM Determination 2012</t>
  </si>
  <si>
    <t>Adjusted major capex allowance for the approved MCP</t>
  </si>
  <si>
    <t>d + e + f</t>
  </si>
  <si>
    <t>Capital expenditure for the approved MCP less exempt major capex</t>
  </si>
  <si>
    <t>Major capex information required by an ID determination or a s 53ZD notice</t>
  </si>
  <si>
    <t>Major capex allowance for the approved MCP less exempt major capex</t>
  </si>
  <si>
    <t xml:space="preserve">Adjustment correcting for disparity between forecast CPI and actual CPI in respect of d </t>
  </si>
  <si>
    <t>Adjustment correcting for disparity between forecast FX rates and actual FX rates for each relevant currency in respect of d</t>
  </si>
  <si>
    <t>Estimated part of the major capex allowance for the approved MCP that relates to the approved MCP outputs not delivered</t>
  </si>
  <si>
    <t>Major capex annual information required by an ID determination or a s 53ZD notice</t>
  </si>
  <si>
    <t>t</t>
  </si>
  <si>
    <t>Net major capex subject to the major capex incentive rate</t>
  </si>
  <si>
    <t>b - t - c</t>
  </si>
  <si>
    <t>n/a</t>
  </si>
  <si>
    <t>Major capex expenditure and output adjustment</t>
  </si>
  <si>
    <t>a * (b - t - c)</t>
  </si>
  <si>
    <t>Transpower's opex allowance is approved under the IPP as at November 2024 effective for the disclosure years ending 30 June 2026-30 June 2030. As part of the IPP, Transpower is eligible to apply for reopeners to its individual price-quality including a change in its opex allowances.</t>
  </si>
  <si>
    <t>IPP Reference: Under the IPP Transpower is not required to disclose this schedule as part of the ACS, this is reported for completeness and reconciliation purposes</t>
  </si>
  <si>
    <t>Table 8.1.1</t>
  </si>
  <si>
    <t>Table 8.1.2</t>
  </si>
  <si>
    <t>Annual Compliance Statement 
9. Operational expenditure (opex)</t>
  </si>
  <si>
    <t>Table 9.1.1</t>
  </si>
  <si>
    <t>C + L</t>
  </si>
  <si>
    <t>Schedule C5 of the IPP</t>
  </si>
  <si>
    <t>D + M</t>
  </si>
  <si>
    <t>Operating lease payments otherwise capitalised with the Transpower IM</t>
  </si>
  <si>
    <t>E + N</t>
  </si>
  <si>
    <t>Schedule C6 of the IPP</t>
  </si>
  <si>
    <t>F + O</t>
  </si>
  <si>
    <r>
      <t xml:space="preserve">Real forecast </t>
    </r>
    <r>
      <rPr>
        <sz val="10"/>
        <color theme="0" tint="-0.499984740745262"/>
        <rFont val="Calibri"/>
        <family val="2"/>
      </rPr>
      <t>(as per IPP determination - 2018 based)</t>
    </r>
  </si>
  <si>
    <t>G + P</t>
  </si>
  <si>
    <t>H + Q</t>
  </si>
  <si>
    <t>I + R</t>
  </si>
  <si>
    <t>J + S</t>
  </si>
  <si>
    <t>K + T</t>
  </si>
  <si>
    <t>9.2 - Differences between the forecast opex and actual opex</t>
  </si>
  <si>
    <t>Table 9.2.1</t>
  </si>
  <si>
    <t>$m</t>
  </si>
  <si>
    <t>Operating Expenditure</t>
  </si>
  <si>
    <t>Actuals</t>
  </si>
  <si>
    <t>Explanation for the difference (the current disclosure year)</t>
  </si>
  <si>
    <t>Variance is driven by increase in insurance premiums and higher operational maintenance costs.</t>
  </si>
  <si>
    <t>Table 9.2.2</t>
  </si>
  <si>
    <t>Lease Payments</t>
  </si>
  <si>
    <t>Operating lease payments</t>
  </si>
  <si>
    <t>Actual operating lease payments otherwise capitalised with the Transpower IM</t>
  </si>
  <si>
    <t>Table 9.2.3</t>
  </si>
  <si>
    <t>Total opex and operating lease payments</t>
  </si>
  <si>
    <t>Annual Compliance Statement 
10. EV Account Summary, Entries and Forecasts</t>
  </si>
  <si>
    <t>10.1 - An updated summary of the EV account as set out in Schedule B</t>
  </si>
  <si>
    <t>Table 10.1.1</t>
  </si>
  <si>
    <t>IPP Schedule B: EV account summary</t>
  </si>
  <si>
    <t xml:space="preserve">Description </t>
  </si>
  <si>
    <t>Schedule B reference</t>
  </si>
  <si>
    <r>
      <t>Disclosure year</t>
    </r>
    <r>
      <rPr>
        <i/>
        <sz val="11"/>
        <color theme="0" tint="-0.499984740745262"/>
        <rFont val="Aptos Narrow"/>
        <family val="2"/>
        <scheme val="minor"/>
      </rPr>
      <t xml:space="preserve"> (finishing June)</t>
    </r>
  </si>
  <si>
    <t>Opening EV account balance (for the disclosure year)</t>
  </si>
  <si>
    <t>Closing balance in the EV account for the previous disclosure year</t>
  </si>
  <si>
    <t>Post-tax WACC</t>
  </si>
  <si>
    <t>The post-tax estimate corresponding to WACC</t>
  </si>
  <si>
    <t>Interest on opening EV account balance</t>
  </si>
  <si>
    <t>Opening EV account balance multiplied by the post-tax estimate corresponding to WACC</t>
  </si>
  <si>
    <t>C = A * B</t>
  </si>
  <si>
    <t>Calculated</t>
  </si>
  <si>
    <t>EV account entries</t>
  </si>
  <si>
    <t>The EV account entries calculated in accordance with clause 34.2</t>
  </si>
  <si>
    <t>Post-tax amount included in calculating the forecast EV adjustment for the disclosure year in respect of the closing EV account balance for the final disclosure year of RCP3</t>
  </si>
  <si>
    <t>Amount for the disclosure year in RCP4 in respect of the forecast closing post-tax EV account balance for the final disclosure year of RCP3, as set out in clause 35.1</t>
  </si>
  <si>
    <t>Closing EV account balance (for the disclosure year)</t>
  </si>
  <si>
    <t>Opening EV account balance plus interest on opening EV account balance, plus EV account entries, minus forecast EV adjustment</t>
  </si>
  <si>
    <t>F = A + C + D - E</t>
  </si>
  <si>
    <t>10.2 - EV account entries</t>
  </si>
  <si>
    <t>IPP Reference: 34.1.3 the source of calculation of the EV account entries referred to in clause 34.1.1(c) for:
(a) the ex-post economic gain or loss calculated for the final disclosure year of RCP3;
(b) the after-tax gain or loss in respect of an instrument that ceases to be an effective hedge for the final disclosure year of RCP3;
(c) the after-tax gain or loss in respect of a commodity instrument that is not an effective hedge for the final disclosure year of RCP3;
(d) the ex-post economic gain or loss for the disclosure year;
(e) the after-tax gain or loss on capital expenditure commitments; 
(f) the after-tax economic gain or loss of a grid output adjustment, calculated in accordance with Schedule B, clause B2(1) of the Capex IM;
(g) the after-tax economic gain or loss of a base capex expenditure adjustment, calculated in accordance with Schedule B, clause B1(1)of the Capex IM;
(h) the after-tax economic gain or loss of a major capex expenditure and output adjustment, calculated in accordance with Schedule B, clause B3(1) of the Capex IM; 
(i) the after-tax amount of a major capex sunk costs adjustment, calculated in accordance with clause 3.3.7 of the Capex IM;
(j) any RCP4 HVDC transitional adjustment; and
(k) any adjustment offsetting a RCP4 HVDC transitional adjustment under clause 11.3.</t>
  </si>
  <si>
    <t>Table 10.2.1</t>
  </si>
  <si>
    <t>Comment</t>
  </si>
  <si>
    <t>The ex-post economic gain or loss calculated for the final disclosure year of RCP3</t>
  </si>
  <si>
    <t xml:space="preserve">This value is reflected in the opening EV account balance for RCP4 (or the closing EV account balance for the final disclosure year of RCP3 which takes into account the ex-post economic gain or loss for that year). </t>
  </si>
  <si>
    <t>34.1.3(a)</t>
  </si>
  <si>
    <t>The after-tax gain or loss in respect of an instrument that ceases to be an effective hedge for the final disclosure year of RCP3</t>
  </si>
  <si>
    <t>none</t>
  </si>
  <si>
    <t>34.1.3(b)</t>
  </si>
  <si>
    <t>The after-tax gain or loss in respect of a commodity instrument that is not an effective hedge for the final disclosure year of RCP3</t>
  </si>
  <si>
    <t>34.1.3(c)</t>
  </si>
  <si>
    <t>The ex-post economic (gain) or loss for the disclosure year</t>
  </si>
  <si>
    <t>34.1.3(d)</t>
  </si>
  <si>
    <t>The after tax gain or loss on capital expenditure commitments</t>
  </si>
  <si>
    <t>34.1.3(e)</t>
  </si>
  <si>
    <t>The after-tax economic gain or loss of a grid output adjustment, calculated in accordance with Schedule B, clause B2(1) of the Capex IM</t>
  </si>
  <si>
    <t>34.1.3(f)</t>
  </si>
  <si>
    <t>The after-tax economic gain or loss of a base capex expenditure adjustment, calculated in accordance with Schedule B, clause B1(1) of the Capex IM</t>
  </si>
  <si>
    <t>34.1.3(g)</t>
  </si>
  <si>
    <t>The after-tax economic gain or loss of a major capex expenditure and output adjustment, calculated in accordance with Schedule B, clause B3(1) of the Capex IM</t>
  </si>
  <si>
    <t>34.1.3(h)</t>
  </si>
  <si>
    <t>The after tax amount of a major capex sunk costs adjustment, calculated in accordance with clause 3.3.7 of the Capex IM</t>
  </si>
  <si>
    <t>34.1.3(i)</t>
  </si>
  <si>
    <t>Any RCP4 HVDC transitional adjustment</t>
  </si>
  <si>
    <t>34.1.3(j)</t>
  </si>
  <si>
    <t>Any adjustment offsetting a RCP4 HVDC transitional adjustment under IPP clause 11.3.</t>
  </si>
  <si>
    <t>34.1.3(k)</t>
  </si>
  <si>
    <t>10.3 - Adjustment to the EV account from a normalisation event, where a normalisation event is excluded from a calculation made for a revenue-linked grid output measure</t>
  </si>
  <si>
    <t>IPP Reference: 26.1.10 where a normalisation event is excluded from a calculation made for a revenue-linked grid output measure in accordance with clause 21.1 for a  disclosure year, a description of the adjustment to the EV account to reflect the effect on the grid output adjustment for that disclosure year.</t>
  </si>
  <si>
    <t>Annual Compliance Statement
11. A summary of pass-through costs and recoverable costs for the disclosure year as set out in Schedule H</t>
  </si>
  <si>
    <t>11.1 - Summary of actual pass-through costs and recoverable costs</t>
  </si>
  <si>
    <t>IPP Reference: 26.1.6 a summary of pass-through costs and recoverable costs for the disclosure year as set out in Schedule H</t>
  </si>
  <si>
    <t>Table 11.1.1</t>
  </si>
  <si>
    <t>IPP Schedule H: Summary of actual pass-through costs and recoverable costs</t>
  </si>
  <si>
    <t>Schedule H reference</t>
  </si>
  <si>
    <t>Local authority rates</t>
  </si>
  <si>
    <t>Rates payable to a local authority on system fixed assets clause 3.1.2(2)a</t>
  </si>
  <si>
    <t>Commerce Act levies</t>
  </si>
  <si>
    <t>Levies payable in accordance with clause 3.1.2(2)(b)(i) of the Transpower IM</t>
  </si>
  <si>
    <t>Electricity Authority levies</t>
  </si>
  <si>
    <t xml:space="preserve">Levies payable in accordance with clause 3.1.2(2)(b)(ii) of the Transpower IM </t>
  </si>
  <si>
    <t>Utilities Disputes Limited levies</t>
  </si>
  <si>
    <t xml:space="preserve">Levies payable in accordance with clause 3.1.2(2)(b)(iii) of the Transpower IM </t>
  </si>
  <si>
    <t>Other pass-through costs levies</t>
  </si>
  <si>
    <t>Any other levies that are pass-through costs in accordance with clause 3.1.2(1)(b) of the Transpower IM</t>
  </si>
  <si>
    <t>Total pass-through costs</t>
  </si>
  <si>
    <t>Sum of values from A to E</t>
  </si>
  <si>
    <t>Incremental rolling incentive scheme recoverable costs</t>
  </si>
  <si>
    <t xml:space="preserve">Instantaneous reserves availability charge  </t>
  </si>
  <si>
    <t>Instantaneous reserves availability charges in accordance with clause 3.1.3(1)(b) of the Transpower IM</t>
  </si>
  <si>
    <t xml:space="preserve">Transmission alternative operating costs </t>
  </si>
  <si>
    <t>Transmission alternative operating costs in accordance with clause 3.1.3(1)(c) of the Transpower IM</t>
  </si>
  <si>
    <t>Operating costs incurred as part of a major capex project</t>
  </si>
  <si>
    <t>The amount of any operating costs that are recoverable costs in accordance with clause 3.1.3(1)(d) of the Transpower IM</t>
  </si>
  <si>
    <t>Net additional operating costs incurred in responding to a catastrophic event</t>
  </si>
  <si>
    <t>The amount of recoverable costs in accordance with clause 3.1.3(1)(e) of the Transpower IM</t>
  </si>
  <si>
    <t>K</t>
  </si>
  <si>
    <t>`</t>
  </si>
  <si>
    <t>Any levy payable to Fire and Emergency New Zealand under the Fire and Emergency New Zealand Act 2017</t>
  </si>
  <si>
    <t>The amount of recoverable costs in accordance with clause 3.1.3(1)(f) of the Transpower IM</t>
  </si>
  <si>
    <t>Total recoverable costs</t>
  </si>
  <si>
    <t>Sum of values from G to L</t>
  </si>
  <si>
    <t>Total pass-through and recoverable costs</t>
  </si>
  <si>
    <t>F+M</t>
  </si>
  <si>
    <t>IPP Reference: 26.1.6(a) a description and explanation of any operating costs incurred as part of a major capex project</t>
  </si>
  <si>
    <t>IPP Reference: 26.1.6(b) a summary of any prudent net additional operating costs incurred in responding to a catastrophic event, as determined by the Commission</t>
  </si>
  <si>
    <t>Annual Compliance Statement
12. Regulatory Tax Allowance</t>
  </si>
  <si>
    <t>12.1 - Regulatory Tax allowance</t>
  </si>
  <si>
    <t>Transpower’s regulatory tax allowance is the income tax building block included in its regulated revenue under the Individual Price‑Quality Path (IPP). It represents a notional allowance for income tax payable, calculated in accordance with the Transpower Input Methodologies (IMs) rather than Transpower’s actual accounting tax position. 
The allowance is designed to ensure that Transpower can recover the tax costs associated with earning its regulated return, while maintaining neutrality between Transpower and consumers over time.</t>
  </si>
  <si>
    <t>IPP Reference: 32.1.9 the regulatory tax allowance calculated:
(a) by applying the tax rules and corporate tax rate to the regulatory profit/(loss) before tax in accordance with Part 2, Subpart 3 of the Transpower IM;
(b) using the term credit spread differential allowance calculated in accordance with Part 2, Subpart 4 of the Transpower IM; and
(c) using as the amount of regulatory profit/(loss) before tax for the purpose of this calculation, the sum of:
(i) the regulatory profit/(loss) before tax disclosed by Transpower for the disclosure year in accordance with the ID determination; and
(ii) the term credit spread differential allowance calculated in subclause (b);</t>
  </si>
  <si>
    <t>Table 12.1.1</t>
  </si>
  <si>
    <t>Fixed Input</t>
  </si>
  <si>
    <t>Recoverable costs</t>
  </si>
  <si>
    <t>Notional deductible interest</t>
  </si>
  <si>
    <t xml:space="preserve">Regulatory profit/loss before tax </t>
  </si>
  <si>
    <t>A*B</t>
  </si>
  <si>
    <t xml:space="preserve">Regulatory tax allowance </t>
  </si>
  <si>
    <t>Table 12.1.2</t>
  </si>
  <si>
    <t>Tax depreciation on RAB assets</t>
  </si>
  <si>
    <t>Tower painting &amp; attachment points</t>
  </si>
  <si>
    <t>Tax write-offs</t>
  </si>
  <si>
    <t>Operating leases costs capitalised under GAAP</t>
  </si>
  <si>
    <t>Table 12.1.3</t>
  </si>
  <si>
    <t>Leverage</t>
  </si>
  <si>
    <t>Cost of debt</t>
  </si>
  <si>
    <t>Notional deductible interest (before TCSD allowance)</t>
  </si>
  <si>
    <t>Term Credit Spread Differential (TCSD) allowance</t>
  </si>
  <si>
    <t xml:space="preserve">Notional deductible interest </t>
  </si>
  <si>
    <t>Quality Performance</t>
  </si>
  <si>
    <t>Annual Compliance Statement
13. Revenue Linked Quality Measures</t>
  </si>
  <si>
    <t>13.1 - Grid output adjustment</t>
  </si>
  <si>
    <t>The grid output adjustment is a revenue adjustment mechanism that links Transpower’s allowed revenue to the outputs or benefits delivered by the grid, rather than purely to expenditure. It is calculated annually and, where applicable, recorded as an EV account entry under Transpower’s IPP framework.
The grid output adjustment is intended to incentivise Transpower to deliver efficient grid outputs and benefits, including reductions in risk and improvements in grid capability; and align revenue outcomes with what the grid delivers, not just what is spent.</t>
  </si>
  <si>
    <t xml:space="preserve">IPP Reference: 
25.2 The annual compliance statement must: 25.2.1 state whether or not Transpower has: 
(b) complied with the requirement to publicly disclose, in accordance with the ID determination, its annual grid output adjustment calculation for the disclosure year, including the values for ‘m’
calculated in accordance with Schedule B, clause B2(1) of the Capex IM;
and (c) complied with requirements related to grid output adjustment calculations and public disclosure
20.1 Transpower must calculate the grid output adjustment for each disclosure year for the revenue-linked grid output measures. 
20.2 For measures of grid performance GP1 and GP2 and asset performance measures AP1 and AP2, the grid output target, cap, collar, and grid output incentive rate in Tables 4.2 and 4.3 apply. 
20.3 For the purposes of calculating the grid output adjustment, the output achieved is: 
20.3.1 for each of the point of service sub-categories GP1A, GP1B, GP1C, GP1D, GP1E and GP1F, the sub-category’s assessed value under clause 15.3; 
20.3.2 for each of the point of service sub-categories GP2A, GP2B, GP2C, GP2D, GP2E and GP2F, the sub-category’s assessed value under clause 17.3; 
20.3.3 for asset performance measure AP1, the percentage of HVDC energy availability as calculated under clause 18.2; and 
20.3.4 for asset performance measure AP2, the percentage of time that the HVAC  assets listed in Schedule G are available as calculated under clause 19.2.  </t>
  </si>
  <si>
    <t>Table 13.1</t>
  </si>
  <si>
    <t>Measure and category</t>
  </si>
  <si>
    <t>Cap</t>
  </si>
  <si>
    <t>Target</t>
  </si>
  <si>
    <t>Collar</t>
  </si>
  <si>
    <t xml:space="preserve">Incentive rate </t>
  </si>
  <si>
    <t>Assessed value</t>
  </si>
  <si>
    <t>Grid output adjustment</t>
  </si>
  <si>
    <t>k</t>
  </si>
  <si>
    <t>n</t>
  </si>
  <si>
    <t>j</t>
  </si>
  <si>
    <t>l</t>
  </si>
  <si>
    <t>m</t>
  </si>
  <si>
    <t>GP1: Number of interruptions (per annum)</t>
  </si>
  <si>
    <t>$ per event</t>
  </si>
  <si>
    <t>N-1 security high economic consequence</t>
  </si>
  <si>
    <t>N-1 security material economic consequence</t>
  </si>
  <si>
    <t>N security high economic consequence</t>
  </si>
  <si>
    <t>N security material economic consequence</t>
  </si>
  <si>
    <t>N-1 security generator</t>
  </si>
  <si>
    <t>N security generator</t>
  </si>
  <si>
    <t>GP2: Average duration of interruption (min)</t>
  </si>
  <si>
    <t>AP1: HVDC availability (%)</t>
  </si>
  <si>
    <t>$ per 1%</t>
  </si>
  <si>
    <t>HVDC availability</t>
  </si>
  <si>
    <t>AP2: HVAC availability (%)</t>
  </si>
  <si>
    <t>HVAC availability</t>
  </si>
  <si>
    <t>Total grid output adjustment</t>
  </si>
  <si>
    <t>Annual Compliance Statement
14. Quality Standards - Grid Performance (GP), Asset Performance (AP), Grid Output Adjustments and Asset Health</t>
  </si>
  <si>
    <t>14.1 - GP1: Number of interruptions (per annum)</t>
  </si>
  <si>
    <t>GP1 (Grid Performance 1) is a grid output measure that sits within the grid output mechanism under Transpower’s IPP. It is designed to incentivise Transpower to deliver measurable grid performance outcomes, rather than focusing solely on expenditure.
GP1 is a Commission‑specified grid performance measure used in Transpower’s grid output mechanism to link allowed revenue to grid performance outcomes, with any resulting adjustment flowing through the EV account. GP1 measures the total number of unplanned interruptions for each point of service sub-category during a disclosure year.</t>
  </si>
  <si>
    <t>Table 14.1.1</t>
  </si>
  <si>
    <t>Point of service sub-category limits</t>
  </si>
  <si>
    <t>Incentive rate per event</t>
  </si>
  <si>
    <t>q</t>
  </si>
  <si>
    <t>i ($)</t>
  </si>
  <si>
    <t>Table 14.1.2</t>
  </si>
  <si>
    <t>Overall compliance with measure</t>
  </si>
  <si>
    <t>Rolling three year compliance</t>
  </si>
  <si>
    <t>IPP reference: 14.1.2 if it complied with the measure of grid performance GP1 assessment for each of the 2 preceding disclosure years.</t>
  </si>
  <si>
    <t>Table 14.1.3</t>
  </si>
  <si>
    <t>Assessment of compliance</t>
  </si>
  <si>
    <t>Complies</t>
  </si>
  <si>
    <t>Has Transpower provided all information necessary to demonstrate compliance with GP1? If Transpower has not complied, the reasons for non compliance.</t>
  </si>
  <si>
    <t>IPP reference: 25.2.3 if Transpower has not complied with any quality standards, disclose:
(a) each quality standard that has not been complied with; and
(b) the reasons for non-compliance in each case;</t>
  </si>
  <si>
    <t>14.2 - GP2: Average duration of interruption (min)</t>
  </si>
  <si>
    <t>In Transpower’s regulatory framework, GP2 is a Grid Performance (reliability) measure used under the price‑quality path (IPP) to assess and incentivise restoration performance after outages. GP2 measures the average duration of unplanned interruptions for each point of service sub-category during a disclosure year.</t>
  </si>
  <si>
    <t>Table 14.2.1</t>
  </si>
  <si>
    <t>Table 14.2.2</t>
  </si>
  <si>
    <t>IPP reference: 16.1.2 if it complied with the measure of grid performance GP2 assessment for each of the 2 preceding disclosure years.</t>
  </si>
  <si>
    <t>Table 14.2.3</t>
  </si>
  <si>
    <t>Has Transpower provided all information necessary to demonstrate compliance with GP2? If Transpower has not complied, the reasons for non compliance.</t>
  </si>
  <si>
    <t>14.3 - AP1: HVDC availability (%)</t>
  </si>
  <si>
    <t>AP1 is an asset performance measure that assesses the availability of Transpower’s inter‑island HVDC system. It measures the percentage of time that HVDC transfer capacity is available, taking into account monopole and bipole outages on HVDC Pole 2 and Pole 3</t>
  </si>
  <si>
    <t>Table 14.3.1</t>
  </si>
  <si>
    <t>Grid output target</t>
  </si>
  <si>
    <t>Quality Standard</t>
  </si>
  <si>
    <t>Incentive rate per event 
($ per 1%)</t>
  </si>
  <si>
    <t>HVDC availability (%)</t>
  </si>
  <si>
    <t>Table 14.3.2</t>
  </si>
  <si>
    <t>Complied with Quality Standard</t>
  </si>
  <si>
    <t>Has Transpower provided all information necessary to demonstrate compliance with AP1? If Transpower has not complied, the reasons for non compliance.</t>
  </si>
  <si>
    <t>14.4 - AP2: HVAC availability (%)</t>
  </si>
  <si>
    <t>AP2 is an asset performance measure that assesses the availability of selected high‑impact HVAC transmission assets. It measures the average percentage of time that a defined set of HVAC assets are available during a disclosure year.</t>
  </si>
  <si>
    <t>IPP Reference: 19.1 To comply with the asset performance measure AP2 quality standard for a disclosure year, the percentage of the time that the HVAC assets listed in Schedule G are available during that disclosure year must be higher than the AP2 quality standard value in Table 4.3.
19.2 For the purposes of clause 19.1, the percentage of the time that the HVAC assets are available during the disclosure year is calculated as a percentage term in accordance with the formula disclosed in the IPP</t>
  </si>
  <si>
    <t>Table 14.4.1</t>
  </si>
  <si>
    <t>HVAC availability (%)</t>
  </si>
  <si>
    <t>Table 14.4.2</t>
  </si>
  <si>
    <t>Has Transpower provided all information necessary to demonstrate compliance with AP2? If Transpower has not complied, the reasons for non compliance.</t>
  </si>
  <si>
    <t>For the current Disclosure Year 2025/26, compliance with Quality standard information is specified in the above table.
AP2 met the IPP Quality Standards. AP2 also met Collar and the Target.</t>
  </si>
  <si>
    <t>14.5 - AH: Asset Health Measure</t>
  </si>
  <si>
    <t>IPP reference: 23.1 For Transpower to comply with the AH assessment for a disclosure year, the assessed value for 4 or more asset health measure asset classes must not exceed the quality limit specified for the disclosure year for those asset health measure asset classes in Table 4.4.
23.2 For the purposes of the AH assessment, the following asset health measure asset classes must be weighted by asset criticality:
23.2.1 conductors;
23.2.2 insulators;
23.2.3 power transformers; and
23.2.4 outdoor circuit breakers.
23.3 For each disclosure year, Transpower must calculate an assessed value: 23.3.1 for the conductors asset health measure asset class in accordance with the formula disclosed in the IPP
23.3.2 for every other asset health measure asset class in accordance with the formula disclosed in the IPP
25.2.4(e) for asset health measure AH: assessed values for the disclosure year of each asset health measure asset class in Table 4.4 against the quality standard in clause 22 for that disclosure year; (Assessed Values in Table 14.5.2)</t>
  </si>
  <si>
    <t>Table 14.5.1</t>
  </si>
  <si>
    <t xml:space="preserve">Quality limits for asset health </t>
  </si>
  <si>
    <t>Tower grillage foundations</t>
  </si>
  <si>
    <t>Tower protective coatings</t>
  </si>
  <si>
    <t>Insulators</t>
  </si>
  <si>
    <t>Conductors</t>
  </si>
  <si>
    <t>Protection relays</t>
  </si>
  <si>
    <t>Power Transformers</t>
  </si>
  <si>
    <t>Outdoor circuit breakers</t>
  </si>
  <si>
    <t>Table 14.5.2</t>
  </si>
  <si>
    <t>Asset Health (%)</t>
  </si>
  <si>
    <t>Power transformers</t>
  </si>
  <si>
    <t>IPP Reference: 22.1 Transpower complies with the AH quality standard for the disclosure year beginning on 1 July 2026:
22.1.1 if it complies with the AH assessment for that disclosure year; or
22.1.2 if it complied with the AH assessment for the disclosure year beginning on 1 July 2025.
22.2 Transpower complies with the AH quality standard for a disclosure year beginning on or after 1 July 2027:
22.2.1 if it complies with the AH assessment for that disclosure year; or
22.2.2 if it complied with the AH assessment for each of the 2 preceding disclosure years.</t>
  </si>
  <si>
    <t>Table 14.5.3</t>
  </si>
  <si>
    <t>No quality standard for DY2026</t>
  </si>
  <si>
    <t>Not required per section clause 22</t>
  </si>
  <si>
    <t>Has Transpower provided all information necessary to demonstrate compliance with AH? If Transpower has not complied, the reasons for non compliance.</t>
  </si>
  <si>
    <t>Not applicable as there is no quality standard for DY2026.</t>
  </si>
  <si>
    <t>Information to accompany the Annual Compliance Statement</t>
  </si>
  <si>
    <t>Explanatory information about normalisation events and compliance
15. Normalisation events, Asset Performance (AP) outside the collar, Asset Health (AH) compliance</t>
  </si>
  <si>
    <t>15.1 - Normalisation Events</t>
  </si>
  <si>
    <t>Previously Info to Accompany ACS Sheet 1</t>
  </si>
  <si>
    <t>IPP reference: 21.4 Where the Commission receives a written application from Transpower in accordance with clause 21.3, the Commission must decide whether each interruption or outage that is the subject of that written application is a normalisation event, using the criteria in clause 21.2 and:
21.4.1 publish its decision on the Commission’s website, which describes:
(a) any interruption or outage that it has decided is a normalisation event;
(b) reasons for why the Commission has reached that decision, based on the criteria in clause 21.2; and
(c) which calculations made under clauses 15.3, 17.3, 18.2, and 19.2 the Commission has decided are affected as a result of its decision that the interruption or outage is a normalisation event; and 21.4.2 give, or post notice of, its decision to Transpower.</t>
  </si>
  <si>
    <t>Table 15.1.1</t>
  </si>
  <si>
    <t>Events</t>
  </si>
  <si>
    <t>Edgecumbe–Waiotahe (EDG–WAI) circuit outage</t>
  </si>
  <si>
    <t>On 12 April 2026 at 12.19 pm, Transpower’s 110 kV Edgecumbe–Waiotahe (EDG–WAI) circuit tripped during severe weather causing a momentary loss of supply before it successfully auto-reclosed. At 12.42 pm it tripped a second time causing loss of supply to Horizon Networks (8 MW) and loss of connection to Lodestone’s Waiotahe solar farm (0.67 MW). The cause of the second trip was later confirmed as a line becoming tangled in trees during the heavy rain and strong winds of Cyclone Vaianu.</t>
  </si>
  <si>
    <t>15.2 - Summary of all reports publicly disclosed under clause 28.1 for the disclosure year</t>
  </si>
  <si>
    <t xml:space="preserve">IPP Reference:28.1 For each unplanned interruption during a disclosure year which lasts 12 hours or more, Transpower must publicly disclose within 42 working days of the unplanned interruption:
28.1.1 the cause of the unplanned interruption;
28.1.2 the start date and time of the unplanned interruption;
28.1.3 the end date and time of the unplanned interruption;
28.1.4 the megawatts affected by the unplanned interruption;
28.1.5 the grid exit point(s) and grid injection point(s) affected by the unplanned interruption;
28.1.6 actions Transpower took to minimise the effect of the unplanned interruption; and
28.1.7 a description of steps that Transpower proposes to take to mitigate the risk of future unplanned interruptions of this type. </t>
  </si>
  <si>
    <t>Table 15.2.1</t>
  </si>
  <si>
    <t>Event</t>
  </si>
  <si>
    <t>Published report link below</t>
  </si>
  <si>
    <t>Waiotahe loss of supply</t>
  </si>
  <si>
    <t xml:space="preserve">Waiotahe loss of supply - Post-interruption report </t>
  </si>
  <si>
    <t>15.3 - Summary of all reports publicly disclosed under clause 28.2 for the disclosure year</t>
  </si>
  <si>
    <t>Previously Info to Accompany ACS Sheet 6</t>
  </si>
  <si>
    <t>IPP Reference: 28.2 For each unplanned interruption during a disclosure year over one system minute, Transpower must publicly disclose within 42 working days of the unplanned interruption:
28.2.1 the cause of the unplanned interruption;
28.2.2 the start date and time of the unplanned interruption;
28.2.3 the end date and time of the unplanned interruption;
28.2.4 the megawatts affected by the unplanned interruption;
28.2.5 the grid exit point(s) and grid injection point(s) affected by the unplanned interruption;
28.2.6 actions Transpower took to minimise the effect of the unplanned interruption; and
28.2.7 a description of steps that Transpower proposes to take to mitigate the risk of future unplanned interruptions of this type.</t>
  </si>
  <si>
    <t>Table 15.3.1</t>
  </si>
  <si>
    <t xml:space="preserve">Hawke's Bay loss of supply </t>
  </si>
  <si>
    <t>Hawke's Bay loss of supply - Post-Interruption Report</t>
  </si>
  <si>
    <t>Upper South Island loss of supply</t>
  </si>
  <si>
    <t>Upper South Island loss of supply - Post-Interruption Report</t>
  </si>
  <si>
    <t>Information to accompany the Annual Compliance Statement 
16. Customer Measures</t>
  </si>
  <si>
    <t>16.1 - CS1: Customer satisfaction measure</t>
  </si>
  <si>
    <t xml:space="preserve">IPP Reference: 27.1.5 for performance measure CS1, which measures customers' satisfaction with Transpower's engagement and consultation. CS1 quantifies, as a percentage, the number of customers who report they are satisfied and the number of customers who report they are dissatisfied with the way Transpower engages and consults with customers, and meets their expectations, as indicated in the annual survey of Transpower’s customers; </t>
  </si>
  <si>
    <t>Table 16.1.1</t>
  </si>
  <si>
    <t>Disclosure Year</t>
  </si>
  <si>
    <t xml:space="preserve">Percentage of customers who report they are satisfied </t>
  </si>
  <si>
    <t xml:space="preserve">Percentage of customers who report they are dissatisfied </t>
  </si>
  <si>
    <t>Summary observations from the annual survey of Transpower's customers:</t>
  </si>
  <si>
    <t>Sample n=77; accuracy = +/-11%</t>
  </si>
  <si>
    <t>16.2 - CS2: Customer service measure</t>
  </si>
  <si>
    <t>Note: Per IPP Clause 27.2, if Transpower considers on reasonable grounds that any information required under clause 27.1.6(a) to (c) is commercially sensitive information of a customer, Transpower may anonymise, aggregate, or (as a last resort) omit the customer’s information in the information publicly disclosed under clause 27.1 to the extent necessary to maintain the confidentiality of the customer’s information. If this is the case, per clause 27.3, Transpower will provide this information directly to the Commission.</t>
  </si>
  <si>
    <t xml:space="preserve">IPP Reference: 27.1.6 for performance measure CS2, which measures Transpower’s responsiveness in relation to new and enhanced grid connections. The information to be disclosed for CS2 is: 
(a) the following information relating to enquiries received for new and enhanced grid connections in the disclosure year: 
(i) number of connection enquiries; and
(ii) average time, minimum time, and maximum time in days taken to start investigation of connections or to formally decline to investigate; </t>
  </si>
  <si>
    <t>Table 16.2.1</t>
  </si>
  <si>
    <t xml:space="preserve">(a) Enquiries received for new and enhanced grid connections in the disclosure year: </t>
  </si>
  <si>
    <t>Started during the year:</t>
  </si>
  <si>
    <t>(i) Number of connection enquiries</t>
  </si>
  <si>
    <t>(ii) Average time taken in days to start investigation of connections or to formally decline to investigate</t>
  </si>
  <si>
    <t>(ii) Minium time taken in days to start investigation of connections or to formally decline to investigate</t>
  </si>
  <si>
    <t>(ii) Maximum time taken in days to start investigation of connections or to formally decline to investigate</t>
  </si>
  <si>
    <t xml:space="preserve">Comments: We started 29 investigations in FY2026, of which 28 related to enquiries received in prior years - in FY2026, only one project proceeded from initial enquiry to investigation within the year, so the measures A2, A3 and A4 have a sample size of one. The 29 investigations were started on average 521 days after the initial enquiry. Noting that Transpower has no control of the project between enquiry and application, but we do between application and investigation, we believe a better measure of Transpower's responsiveness is the time taken from application to investigtion. The 29 investigations were started on average 327 days after the confirmed application. Cells marked "?" are not part of the CS2 data set defined in the IPP Determination. </t>
  </si>
  <si>
    <t xml:space="preserve">IPP Reference: 27.1.6 for performance measure CS2, which measures Transpower’s responsiveness in relation to new and enhanced grid connections. The information to be disclosed for CS2 is: 
(b) the following information relating to investigations of new and enhanced grid connections started in the disclosure year: 
(i) number of investigations started;
(ii) average time in days to deliver concept assessment; and
(iii) number and percentage of investigations that were delivered within the contracted time; </t>
  </si>
  <si>
    <t>Table 16.2.2</t>
  </si>
  <si>
    <t xml:space="preserve">(b) Enquiries received for new and enhanced grid connections in the disclosure year: </t>
  </si>
  <si>
    <t>(i) Number of investigations started</t>
  </si>
  <si>
    <t>(ii) Average time in days to deliver concept assessment</t>
  </si>
  <si>
    <t>(iii) Number of investigations that were delivered within the contracted time</t>
  </si>
  <si>
    <t>Not reported</t>
  </si>
  <si>
    <t>(iii) Percentage of investigations that were delivered within the contracted time</t>
  </si>
  <si>
    <t xml:space="preserve">Comments: We will start reporting the two measures marked as "Not reported" from FY2027, for projects with an agreed Solution Proposal. For these projects, the time taken to deliver the investigation after the Solution Proposal is agreed is a clear measure of Transpower's responsiveness. This is a recent process improvement - no such projects have yet been completed so data is not yet available.  </t>
  </si>
  <si>
    <t>IPP Reference: 27.1.6 for performance measure CS2, which measures Transpower’s responsiveness in relation to new and enhanced grid connections. The information to be disclosed for CS2 is: 
(c) the following information relating to commissioning of new and enhanced grid connections in the disclosure year:
(i) number of connections commissioned;
(ii) total value in dollars of connections commissioned;
(iii) for all load connections, median time and mean time in days from the date of entering a Transpower Works Agreement to the date the connection is commissioned;
(iv) for all generation and storage connections, median time and mean time in days from the date of entering a Transpower Works Agreement to the date the connection is commissioned;
(v) number and percentage of connections delivered within the contracted time;
(vi) for all connections for which the final commissioned cost exceeds the contracted project cost, the number of projects, and the average percentage overrun;
(vii) for all connections for which the final commissioned cost is equal to or less than the contracted project cost, the number of projects, and the average percentage underrun.</t>
  </si>
  <si>
    <t>Table 16.2.3</t>
  </si>
  <si>
    <t xml:space="preserve">(c) Enquiries received for new and enhanced grid connections in the disclosure year: </t>
  </si>
  <si>
    <t>(i) Number of connections commissioned</t>
  </si>
  <si>
    <t>(ii) Total value in dollars of connections commissioned</t>
  </si>
  <si>
    <t>(iii) Load Connections - Median time taken in days from the date entering a TWA to the date the connection is commissioned</t>
  </si>
  <si>
    <t>(iii) Load Connections - Mean time taken in days from the date entering a TWA to the date the connection is commissioned</t>
  </si>
  <si>
    <t>(iv) Generation and Storage - Median time taken in days from the date entering a TWA to the date the connection is commissioned</t>
  </si>
  <si>
    <t>(iv) Generation and Storage - Mean time taken in days from the date entering a TWA to the date the connection is commissioned</t>
  </si>
  <si>
    <t>(v) Number of connections delivered within the contracted time</t>
  </si>
  <si>
    <t>(v) Percentage of connections delivered within the contracted time</t>
  </si>
  <si>
    <t>(vi) All Connections - commissioned cost exceeds the contracted project cost</t>
  </si>
  <si>
    <t>(vi) All Connections - average percentage overrun where it exceeds the contracted project cost</t>
  </si>
  <si>
    <t>(vii) All Connections - commissioned cost is equal to or less than the contracted project cost</t>
  </si>
  <si>
    <t>(vii) All Connections - average percentage underrun which is equal to or less than the contracted project cost</t>
  </si>
  <si>
    <t>Information to accompany the Annual Compliance Statement 
17. Quality Standards Additional Information</t>
  </si>
  <si>
    <t>17.1 - AP1.2: Asset performance measure</t>
  </si>
  <si>
    <t>IPP reference: 27.1.4 for asset performance measure AP1.2, which measures the HVDC link’s operational capacity during the disclosure year, calculated as the percentage available operating capacity limit against the maximum capacity of the HVDC link. The operational capacity limit is calculated in line with Transpower’s policies and reflects the HVDC operational capacity information provided to the market via the system known, in the code, as WITS</t>
  </si>
  <si>
    <t>Table 17.1.1</t>
  </si>
  <si>
    <t>HVDC operational Capacity availability (South to North)</t>
  </si>
  <si>
    <t>HVDC operational Capacity availability (North to South)</t>
  </si>
  <si>
    <t>17.2 - AP3: Asset performance measure</t>
  </si>
  <si>
    <t>IPP Reference: 27.1.1 for asset performance measure AP3, which measures the extent to which Transpower meets planned return to service times for planned outages of the HVAC assets set out in Schedule G, those assets in Schedule G that are returned to service two or more hours after Transpower’s planned return to service time, including:
(a) when this has occurred;
(b) the known or estimated impact on affected parties, if applicable; and
(c) the steps Transpower took to inform affected parties and the market;</t>
  </si>
  <si>
    <t>Table 17.2.1</t>
  </si>
  <si>
    <t>Outage Block</t>
  </si>
  <si>
    <t>Removed Asset</t>
  </si>
  <si>
    <t>Removed Circuit Section (if applicable)</t>
  </si>
  <si>
    <t>Outage Start Date</t>
  </si>
  <si>
    <t>Outage End Date</t>
  </si>
  <si>
    <t>Planned Finish before Release</t>
  </si>
  <si>
    <t>the known or estimated impact on affected parties, if applicable</t>
  </si>
  <si>
    <t>the steps Transpower took to inform affected parties and the market</t>
  </si>
  <si>
    <t>TKU_WKM_2</t>
  </si>
  <si>
    <t>TKU-WKM-2</t>
  </si>
  <si>
    <t>Longer duration on reduced security.</t>
  </si>
  <si>
    <t>Market informed through CTO processes.</t>
  </si>
  <si>
    <t>BPE_TKU_2</t>
  </si>
  <si>
    <t>BPE-TKU-2</t>
  </si>
  <si>
    <t>HAM_KPO_1</t>
  </si>
  <si>
    <t>HAM-KPO-1</t>
  </si>
  <si>
    <t>HAM_WKM_1</t>
  </si>
  <si>
    <t>HAM-WKM-1</t>
  </si>
  <si>
    <t>FHL_RDF_1</t>
  </si>
  <si>
    <t>FHL-RDF-1</t>
  </si>
  <si>
    <t>TMN_TWH_1</t>
  </si>
  <si>
    <t>TMN-TWH-1</t>
  </si>
  <si>
    <t>CYD_ROX_2</t>
  </si>
  <si>
    <t>CYD-ROX-2</t>
  </si>
  <si>
    <t>ISL_KIK_1</t>
  </si>
  <si>
    <t>ISL-KIK-1</t>
  </si>
  <si>
    <t>Market informed through CTO processes and SO.</t>
  </si>
  <si>
    <t>Table 17.2.2</t>
  </si>
  <si>
    <t>Outages count</t>
  </si>
  <si>
    <t>9 out of 146 Planned Outages</t>
  </si>
  <si>
    <t>Outages percentage</t>
  </si>
  <si>
    <t>17.3 - AP4: Asset performance measure</t>
  </si>
  <si>
    <t>IPP Reference: 27.1.2 for asset performance measure AP4, which measures the extent to which Transpower communicates delays to affected parties of planned outage return to service times of the HVAC assets set out in Schedule G, the percentage of outages that Transpower gives 1.5 hours or less notice to the market in the event assets are going to be returned to service later than:
(a) the original planned return to service time; or 
(b) the extended return to service time</t>
  </si>
  <si>
    <t>Table 17.3.1</t>
  </si>
  <si>
    <t>14 out of 146 Planned Outages</t>
  </si>
  <si>
    <t>17.4 - GP4: Grid performance measure</t>
  </si>
  <si>
    <t>IPP Reference: 27.1.3 for measure of grid performance GP4, which measures the extent to which energy demand is not supplied due to interruptions or outages, the percentage of total energy demand that was not supplied due to interruptions or outages in the disclosure year. GP4 is calculated by dividing the amount (in MWh) of energy not served due to interruptions or outages by the amount (in MWh) of total energy demand (being the sum of the amount of energy served and the amount of energy not served due to interruptions or outages) in relation to each of the following point of service sub-categories:
(a) GP4A: “N-1 security high economic consequence”;
(b) GP4B: “N-1 security material economic consequence”;
(c) GP4C: “N security high economic consequence”; and
(d) GP4D: “N security material economic consequence”;</t>
  </si>
  <si>
    <t>Table 17.4.1</t>
  </si>
  <si>
    <t>DY2026</t>
  </si>
  <si>
    <t>17.5 - Asset performance measure AP1 if outside of the collar value</t>
  </si>
  <si>
    <t>IPP reference: 30.2 Where asset performance measure AP1, as calculated in accordance with clause 18.2, is outside of the collar value specified in Table 4.3, Transpower must publicly disclose at the same time as its annual compliance statement:
30.2.1 reasons, including whether the reasons are unknown, for asset performance measure AP1 going outside of the collar, and including any significant impact on the market (for example, the effect on market price or grid congestion);
30.2.2 actions Transpower has taken to minimise the effect of the events described in clause 30.2.1; and
30.2.3 a description of steps that Transpower proposes to take to mitigate the risk of going outside of the collar in the future.</t>
  </si>
  <si>
    <t>Table 17.5.1</t>
  </si>
  <si>
    <t>Reasons for AP1 going below the collar</t>
  </si>
  <si>
    <t>Transpower's actions to minimise the effect of the events</t>
  </si>
  <si>
    <t>Not applicable as the AP1 was better than Collar value</t>
  </si>
  <si>
    <t>17.6 - Asset performance measure AP2 if outside of the collar value</t>
  </si>
  <si>
    <t>IPP reference: 30.3 Where asset performance measure AP2, as calculated in accordance with clause 19.2, is outside of the collar value specified in Table 4.3, Transpower must publicly disclose at the same time as its annual compliance statement:
30.3.1 the events that caused asset performance measure AP2 to go below the collar;
30.3.2 reasons, including whether the reasons are unknown, for asset performance measure AP2 going below the collar;
30.3.3 actions Transpower has taken to minimise the effect of the events described in clause 30.3.1; and
30.3.4 a description of steps that Transpower proposes to take to mitigate the risk of going below the collar in the future.</t>
  </si>
  <si>
    <t>Table 17.6.1</t>
  </si>
  <si>
    <t>Reasons for AP2 going below the collar</t>
  </si>
  <si>
    <t>Not applicable as the AP2 was better than Collar value</t>
  </si>
  <si>
    <t xml:space="preserve">To mitigate the risk of going below the AP2 collar in the future, we have established an AP2 governance and management approach. This framework provides for oversight and key decision making in relation to AP2. </t>
  </si>
  <si>
    <t>17.7 - If not complied with the asset health measure AH quality standard for an asset health measure asset class</t>
  </si>
  <si>
    <t xml:space="preserve">IPP reference: 30.4 Where Transpower has not complied with the asset health measure AH quality standard for an asset health measure asset class, as specified in clause 22, it must publicly disclose at the same time as its annual compliance statement:
30.4.1 reasons for not meeting the quality standard, and supporting evidence for those reasons; and
30.4.2 steps that have been put in place by Transpower to prevent future non-compliance with the quality standard. </t>
  </si>
  <si>
    <t>Not Applicable as Asset Health has complied with Quality Standard per tab 14</t>
  </si>
  <si>
    <t>Table 17.7.1</t>
  </si>
  <si>
    <t>Asset class</t>
  </si>
  <si>
    <t>Reasons</t>
  </si>
  <si>
    <t>Steps</t>
  </si>
  <si>
    <t>Not Applicable as Disclosure Year 2025/26 do not have a quality standard</t>
  </si>
  <si>
    <t>Net (gain)/loss on disposal of assets</t>
  </si>
  <si>
    <t>Adjustments to opening RAB</t>
  </si>
  <si>
    <t>Adjustment to opening RAB resulting in change cost allocation</t>
  </si>
  <si>
    <t xml:space="preserve">IPP Reference: 32.2 For the purposes of any disparity adjustments for calculating the ex-post economic gain or loss in clause 32.1, </t>
  </si>
  <si>
    <t>IPP Reference: 32.2 For the purposes of any disparity adjustments for calculating the ex-post economic gain or loss in clause 32.1</t>
  </si>
  <si>
    <r>
      <rPr>
        <b/>
        <sz val="10"/>
        <color theme="1"/>
        <rFont val="Calibri"/>
        <family val="2"/>
      </rPr>
      <t>Reader Note:</t>
    </r>
    <r>
      <rPr>
        <sz val="10"/>
        <color theme="1"/>
        <rFont val="Calibri"/>
        <family val="2"/>
      </rPr>
      <t xml:space="preserve"> Transpower's total nominal opex allowance and nominal forecast opex are specified in the IPP determination 2025. The nominal forecast of operating lease payments otherwise capitalised with the Transpower IM simply is the difference of the two.</t>
    </r>
  </si>
  <si>
    <t>Forecast opex - (excluding operating lease payments otherwise capitalised with the Transpower IM) - updated for actual CPI</t>
  </si>
  <si>
    <t>Actual opex and operating lease payments</t>
  </si>
  <si>
    <t>9. opex Allowance</t>
  </si>
  <si>
    <t>opex allowance</t>
  </si>
  <si>
    <t>Annual Compliance Statement 
8. Operational Expenditure (opex) Allowances</t>
  </si>
  <si>
    <t>8.1 - opex allowances per the IPP</t>
  </si>
  <si>
    <t>IPP Schedule C5: Summary of opex allowances (excluding capitalised operating leases)</t>
  </si>
  <si>
    <t>opex allowance as determined 29 August 2024</t>
  </si>
  <si>
    <t xml:space="preserve"> Incremental opex allowance determined in 2025 </t>
  </si>
  <si>
    <t>Incremental opex allowance determined in 2026</t>
  </si>
  <si>
    <t xml:space="preserve"> Incremental opex allowance determined in 2027 </t>
  </si>
  <si>
    <t>Incremental opex allowance determined in 2028</t>
  </si>
  <si>
    <t xml:space="preserve"> opex allowance for purposes of forecast MAR in the disclosure year (sum of columns 2 to 6)</t>
  </si>
  <si>
    <t>IPP Schedule C6: Summary of forecast opex for IRIS (including capitalised operating leases)</t>
  </si>
  <si>
    <t>Forecast opex for IRIS as determined 29 August 2024</t>
  </si>
  <si>
    <t xml:space="preserve"> Incremental forecast opex for IRIS determined in 2025</t>
  </si>
  <si>
    <t xml:space="preserve"> Incremental forecast opex for IRIS determined in 2026</t>
  </si>
  <si>
    <t xml:space="preserve"> Incremental forecast opex for IRIS determined in 2027</t>
  </si>
  <si>
    <t>Incremental forecast opex for IRIS determined in 2028</t>
  </si>
  <si>
    <t xml:space="preserve"> Incremental forecast opex for IRIS determined in 2028 Forecast opex for IRIS (sum of columns 2 to 6)</t>
  </si>
  <si>
    <t>Transpower is required to calculate the ex post economic gain or loss as a result of the difference in its allowances and its actual expenditure. Under the IPP, Transpower is compensated for the disparity between the CPI forecast as used in the IPP application and the actual CPI for each year since the opex allowance was set. The allowances table 8.1.1 is based on the schedules within tab 8 as set out in the IPP and account for reopeners made by Transpower. Amounts are reflected in equivalent dollars to the original allowance or reopener updated allowance and are therefore subject to the CPI adjustment.</t>
  </si>
  <si>
    <t>IPP Reference: 32.1 For the purposes of annually calculating the ex-post economic gain or loss, Transpower must use: 32.1.7 the opex allowance, excluding operating lease payments capitalised in accordance with the Transpower IM, specified in Schedule C5. For any disparity adjustments for calculating the opex incentive amount in clause 36.2, the forecast CPI that applied when the opex allowance and forecast opex were determined, as specified in Schedule C8.
36.2 For the purposes of clause 36.1 and any disparity adjustments in calculating the opex incentive amount, the forecast CPI that applied when the forecast opex was determined is the same as that set out in Schedule C8.</t>
  </si>
  <si>
    <t>Forecast opex (including operating lease payments otherwise capitalised with the Transpower IM)</t>
  </si>
  <si>
    <t>IPP Reference: 26.1.7 an explanation for the difference between the forecast opex and actual opex, including in each forecast amount and actual amount, the operating lease payments otherwise capitalised in accordance with the Transpower IM;</t>
  </si>
  <si>
    <t>Actual opex</t>
  </si>
  <si>
    <t>The EV account exists to ensure intertemporal neutrality between Transpower and consumers. It smooths the effects of wash‑up outcomes (differences between forecast and actual revenues, opex, incentives, etc.), and incentive scheme outcomes (including efficiency incentives), so that customers ultimately pay (or are refunded) the economic value implied by the regulatory settings.</t>
  </si>
  <si>
    <t>Under Transpower’s regulatory framework, pass‑through costs and recoverable costs are specific categories of costs that sit outside normal forecast opex allowances and are instead adjusted for actuals. They are disclosed annually and flow through allowed revenue and the EV account as required.
- Pass‑through costs are costs that are automatically passed through to customers because they are largely outside Transpower’s control and not subject to efficiency incentives.
- Recoverable costs are costs that may be recovered from customers if specific IM conditions are met, often relating to exceptional or event‑driven circumstances.</t>
  </si>
  <si>
    <t>Sum of recoverable costs under the incremental rolling incentive scheme (opex incentive) in accordance with clause 3.1.3(1)(a) of the Transpower IM</t>
  </si>
  <si>
    <t>11.2 - A description and explanation of any opex incurred as part of a major capex project</t>
  </si>
  <si>
    <t>11.3 - A summary of any prudent net additional opex incurred in responding to a catastrophic event, as determined by the Commission</t>
  </si>
  <si>
    <t>Note: The Transpower Input Methodologies Determination (consolidated 4 June 2026), Part 2, Subpart 3,  clause 2.3.1(1), the regulatory tax allowance is determined by applying the tax rules and corporate tax rate to the 'regulatory profit / (loss) before tax', and clause 2.3.1(2) as determined in accordance with an ID determination.
The above calculation complies with these requirements except for the amount of opex that is included. In line with Transpower's practice during RCP3, this calculation uses the opex allowance (and not actual opex), consistent with the amount of opex that is included in Schedule C5 of the Transpower IPP determination 2025 (adjusted for actual CPI outturn).</t>
  </si>
  <si>
    <t>Opex allowance (excluding operating lease payments otherwise capitalised with the Transpower IM)</t>
  </si>
  <si>
    <t>Transpower forecasts the expected opex expenditure as part of the IPP requirements, Transpower is required to disclose the difference in the forecast opex per the IPP and the actual opex spent during the year, including for the operating lease payments otherwise capitalised.</t>
  </si>
  <si>
    <t>The pseudo asset is a purely regulatory (non GAAP) asset that does not appear anywhere in Transpower's financial statements. It was created on 1 July 2015 and is depreciating at a constant rate over 31 years. It is a legacy adjustment from RCP1 related to regulatory rules that during RCP1 did not allow recovery of depreciation in the year of commissioning (different to GAAP).  This resulted in a divergency of GAAP assets and RAB assets.  At the start of RCP3 this regulatory rule (no depreciation in year of commissioning)  was removed and as a result this pseudo asset created so that going forward the GAAP asset value could be used for RAB.  RAB is now GAAP asset  + Pseudo asset. This work around stops the necessity to manage two separate asset registers, one for GAAP and one for RAB.</t>
  </si>
  <si>
    <t>Reader Note: The formulae used to calculate the grid output adjustments (Term I) for GP1, GP2, AP1 and AP2 are based on the targets, caps collars, quality standard and grid output incentive rates for revenue-linked grid output measures in Table 4.2 and Table 4.3 of the IPP.</t>
  </si>
  <si>
    <t xml:space="preserve">IPP Reference: 14.1 Transpower complies with the GP1 quality standard for a disclosure year:
14.1.1 if it complies with the measure of grid performance GP1 assessment for that disclosure year; or
15.1 For Transpower to comply with the measure of grid performance GP1 assessment for a disclosure year, the assessed value for 4 or more point of service subcategories must not exceed the quality limit specified for the disclosure year for the point of service sub-category in Table 
15.2 For each disclosure year, Transpower must calculate an assessed value for each point of service sub-category.
15.3 The assessed value for a point of service sub-category for a disclosure year is the sum of unplanned interruptions that commenced in the disclosure year for the point of service sub-category. 
15.4 For the purposes of clause 14.1.2, Transpower has complied with the measure of grid performance GP1 assessment for a disclosure year in RCP3 if it complied with the assessment for that disclosure year in accordance with Part 4 of the RCP3 IPP. </t>
  </si>
  <si>
    <t>Disclosure year</t>
  </si>
  <si>
    <t>IPP Reference: 16.1 Transpower complies with the GP2 quality standard for a disclosure year:
16.1.1 if it complies with the measure of grid performance GP2 assessment for that disclosure year
17.1 For Transpower to comply with the measure of grid performance GP2 assessment for a disclosure year, the assessed value for 4 or more point of service subcategories must not exceed the quality limit specified for the disclosure year for the point of service sub-category in Table 4.2.
17.2 For each disclosure year, Transpower must calculate an assessed value for each point of service sub-category.
17.3 The assessed value for a point of service sub-category for a disclosure year is the sum of unplanned interruptions that commenced in the disclosure year for the point of service sub-category. 
17.4 For the purposes of clause 16.1.2, Transpower has complied with the measure of grid performance GP2 assessment for a disclosure year in RCP3 if it complied with the assessment for that disclosure year in accordance with Part 4 of the RCP3 IPP.</t>
  </si>
  <si>
    <t>IPP Reference:18.1 To comply with the asset performance measure AP1 quality standard for a disclosure year, the HVDC energy availability for Pole 2 and Pole 3 for that disclosure year must be higher than the AP1 quality standard value in Table 4.3.
18.2 For the purposes of clause 18.1, the HVDC energy availability for Pole 2 and Pole 3for the disclosure year is calculated as a percentage term in accordance with the formula disclosed in the IPP</t>
  </si>
  <si>
    <t>Transpower assesses the asset health of its assets in accordance with IPP clause 23. To comply with the asset health quality measure, Transpower must comply with the quality measure of four or more asset classes by not exceeding the quality limit disclosed below as per Table 4.4 of the IPP.</t>
  </si>
  <si>
    <r>
      <t>The below schedules reflect all reopeners approved by the Commerce Commission</t>
    </r>
    <r>
      <rPr>
        <b/>
        <sz val="11"/>
        <color theme="1"/>
        <rFont val="Aptos Narrow"/>
        <family val="2"/>
        <scheme val="minor"/>
      </rPr>
      <t>.</t>
    </r>
    <r>
      <rPr>
        <sz val="11"/>
        <color theme="1"/>
        <rFont val="Aptos Narrow"/>
        <family val="2"/>
        <scheme val="minor"/>
      </rPr>
      <t xml:space="preserve"> We note that as at the signing of the ACS, Transpower has an open reopener application with the Commerce Commission which will be entered into the year it relates to once approved.</t>
    </r>
  </si>
  <si>
    <t>The below schedules reflect all reopeners approved by the Commerce Commission. We note that as at the signing of the ACS, Transpower has an open reopener application with the Commerce Commission which will be entered into the year it relates to once approved.</t>
  </si>
  <si>
    <t>Capital charge</t>
  </si>
  <si>
    <t>Alternative approach - compare ex post MAR to ex ante MAR to understand differences. Washup is the difference between actual revenue and ex Post MAR</t>
  </si>
  <si>
    <t>Total revenue</t>
  </si>
  <si>
    <t>Ex ante revenue</t>
  </si>
  <si>
    <t>Ex post revenue</t>
  </si>
  <si>
    <t>Differences</t>
  </si>
  <si>
    <t>Actual Revenue</t>
  </si>
  <si>
    <t>Washup amount (pre tax)</t>
  </si>
  <si>
    <t>Washup amount (post tax)</t>
  </si>
  <si>
    <t>Post tax washup calculated above</t>
  </si>
  <si>
    <t>variance</t>
  </si>
  <si>
    <t>E=A+A1+B+C+D</t>
  </si>
  <si>
    <t>Nominal</t>
  </si>
  <si>
    <t>PV</t>
  </si>
  <si>
    <t>Adjustment correcting for capex disparity between forecast CPI and actual CPI in respect of d and d'</t>
  </si>
  <si>
    <t>IPP Reference: 26.1.5 an updated summary of the EV account as set out in Schedule B and an updated forecast EV account balance at the end of RCP4, where these are supported by the further information required in clause 34.1, and where the  EV account entries are calculated in accordance with clause 34.2; 
34.1.1 a reconciliation of the opening and closing balances of the EV account that takes into account:
(a) the opening balance of the EV account;
(b) the calculation of interest at the post-tax estimate corresponding to WACC on the opening balance of the EV account;
(c) EV account entries; and
(d) post-tax amounts included in calculating the forecast EV adjustments in respect of the closing EV account balance for the final disclosure year of RCP3.</t>
  </si>
  <si>
    <t>Comparison of cashflow timing assumptions using 7.10% as a constant WACC</t>
  </si>
  <si>
    <t xml:space="preserve">9.1 - Opex allowance and forecast opex </t>
  </si>
  <si>
    <t xml:space="preserve">This workbook contains the disclosure of our Annual Compliance Statement (ACS) as required by our Individual Price-Quality Path Determination (IPP) and the additional information the ACS must include. These disclosures relate principally to our annual wash-up calculation (i.e. the calculation of the economic gain or loss for the disclosure year), the related adjustments to the Economic Value (EV) account and Transpower's performance in relation to the Grid Output measures for which quality standards have been set. This workbook also contains an alternative wash-up calculation (Sheet 3_RevenueBuildingBlocks) that is mathematically identical to the approach mandated by the IPP (Schedule E), but which applies a full bottom-up building blocks methodology. </t>
  </si>
  <si>
    <r>
      <t xml:space="preserve">Complied with Quality Limit </t>
    </r>
    <r>
      <rPr>
        <b/>
        <strike/>
        <sz val="10"/>
        <color rgb="FF000000"/>
        <rFont val="Aptos Narrow"/>
        <family val="2"/>
        <scheme val="minor"/>
      </rPr>
      <t>Standard</t>
    </r>
  </si>
  <si>
    <r>
      <t>For the current Disclosure Year 2025/26, compliance with Quality standard information is specified in the above table</t>
    </r>
    <r>
      <rPr>
        <b/>
        <sz val="10"/>
        <color rgb="FFFF0000"/>
        <rFont val="Aptos Narrow"/>
        <family val="2"/>
        <scheme val="minor"/>
      </rPr>
      <t>.</t>
    </r>
    <r>
      <rPr>
        <sz val="10"/>
        <color theme="1"/>
        <rFont val="Aptos Narrow"/>
        <family val="2"/>
        <scheme val="minor"/>
      </rPr>
      <t xml:space="preserve">
AP1 met the IPP Quality Standards.
AP1 also met Collar and the Target.
</t>
    </r>
  </si>
  <si>
    <t>Complied with Quality Limit</t>
  </si>
  <si>
    <r>
      <t xml:space="preserve">Comments: </t>
    </r>
    <r>
      <rPr>
        <sz val="11"/>
        <color theme="1"/>
        <rFont val="Aptos Narrow"/>
        <family val="2"/>
        <scheme val="minor"/>
      </rPr>
      <t xml:space="preserve">The number of connections commissioned includes one project where the connection has been commissioned but the project has not yet completed (so the final costs are not yet known). Times taken are measured to the date the connection is commissioned. The contracted time is that set out in the investment contract or as subsequently agreed with the customer in accordance with the terms of the contract. The customer pays actual costs. There can be a time lag between the connection commissioning and project completion (at which point final costs are known). Cells marked "?" are not part of the CS2 data set defined in the IPP Determination. </t>
    </r>
  </si>
  <si>
    <t>The EV account (Economic Value account) is a regulatory account used to track amounts that need to be returned to, or recovered from, customers in future regulatory periods under the IPP framework. It does not represent physical assets or cash held by Transpower. Instead, it records timing differences between forecast and actual regulatory outcomes. 
Note: 
- a positive - account balance is a $ amount that Transpower will rcover from customers and a negative (-) account balance is a $ amount that  Transpower will repay customers.
- EV account entries for the remaining future disclosure years purely reflect timing differences in how Transpower collects its total maximum allowable revenue across RCP4. This is a result of the Commerce Commission setting a smoothed revenue path for Transpower in RCP4 (i.e. Transpower's maximum allowable revenue in RCP4 is levelised across the five years, smoothing the annual maximum allowable revenue (MAR) in net present value neutral terms across RCP4 (referred to as SMAR))</t>
  </si>
  <si>
    <t xml:space="preserve">Transpower discloses the electricity transmission revenue charged under the TPM as the disclosure year value, as well as the other regulated income received during the disclosure year.  </t>
  </si>
  <si>
    <r>
      <t>For the current Disclosure Year 2025/26, compliance with Quality standard information is specified in above</t>
    </r>
    <r>
      <rPr>
        <b/>
        <sz val="11"/>
        <color theme="1"/>
        <rFont val="Aptos Narrow"/>
        <family val="2"/>
        <scheme val="minor"/>
      </rPr>
      <t xml:space="preserve"> table.</t>
    </r>
    <r>
      <rPr>
        <sz val="11"/>
        <color theme="1"/>
        <rFont val="Aptos Narrow"/>
        <family val="2"/>
        <scheme val="minor"/>
      </rPr>
      <t xml:space="preserve">
</t>
    </r>
    <r>
      <rPr>
        <sz val="11"/>
        <rFont val="Aptos Narrow"/>
        <family val="2"/>
        <scheme val="minor"/>
      </rPr>
      <t>GP1 met the IPP Quality Standards. 
Note: A normalisation application was approved by the Commerce Commission for exclusion in GP1 and GP2. Details of the Normalisation event is provided in 15_Events-AP&amp;AH (Table 15.1.1)</t>
    </r>
  </si>
  <si>
    <t>For the current Disclosure Year 2025/26, compliance with Quality standard information is specified in the above table.
GP2 met the IPP Quality Standards. 
Note: A normalisation application was approved by the Commerce Commission for exclusion in GP1 and GP2. Details of the Normalisation event is provided in 15_Events-AP&amp;AH (Table 15.1.1)</t>
  </si>
  <si>
    <r>
      <t xml:space="preserve">The planned outages that primarily caused AP2 to be outside the collar value: Outages associated with the PAK-WKM-2 cable joint replacement work. Details are described in the table below. We consider this outage meet our definition of an exceptional event and have informed Commerce Commission accordingly. 
</t>
    </r>
    <r>
      <rPr>
        <sz val="11"/>
        <rFont val="Aptos Narrow"/>
        <family val="2"/>
        <scheme val="minor"/>
      </rPr>
      <t>Tab 8.1 o</t>
    </r>
    <r>
      <rPr>
        <sz val="11"/>
        <color theme="1"/>
        <rFont val="Aptos Narrow"/>
        <family val="2"/>
        <scheme val="minor"/>
      </rPr>
      <t xml:space="preserve">f the Annual Compliance Statement workbook shows Transpower's performance against the quality standards (including the exceptional events).
</t>
    </r>
  </si>
  <si>
    <t>Part 5 of the Transpower Individual Price-Quality Path Determination 2025 ("IPP")</t>
  </si>
  <si>
    <t>The Annual Compliance Statement - Part 1</t>
  </si>
  <si>
    <t>The Annual Compliance Statement - Part 2</t>
  </si>
  <si>
    <t>The Independent Assurance Report</t>
  </si>
  <si>
    <t xml:space="preserve">The ex-post economic gain or loss for the disclosure year, calculated in accordance with clause 29.1 and Schedule E </t>
  </si>
  <si>
    <t xml:space="preserve">A description and explanation of any voluntary revenue reduction Transpower has made in calculating the ex-post economic gain or loss for the disclosure year </t>
  </si>
  <si>
    <t>The forecast revenue for electricity transmission services used for setting charges under the TPM</t>
  </si>
  <si>
    <t>Full building blocks calculation of the economic gain or loss for the disclosure year</t>
  </si>
  <si>
    <t>Other regulated income received for the pricing year</t>
  </si>
  <si>
    <t>An updated summary of the EV account as set out in Schedule B</t>
  </si>
  <si>
    <t>A description of the adjustment to the EV account from a normalisation event, where a normalisation event is excluded from a calculation made for a revenue-linked grid output measure</t>
  </si>
  <si>
    <t>An updated forecast EV account balance at the end of RCP3</t>
  </si>
  <si>
    <t>A summary of pass-through costs and recoverable costs for the disclosure year as set out in Schedule H</t>
  </si>
  <si>
    <t>A description and explanation of any opex incurred as part of a major capex project</t>
  </si>
  <si>
    <t>A summary of any prudent net additional opex incurred in responding to a catastrophic event, as determined by the Commission</t>
  </si>
  <si>
    <t>An explanation for the differences between the forecast opex and actual opex, including for the operating lease payments otherwise capitalised in accordance with the Transpower IM</t>
  </si>
  <si>
    <t>Updated summaries of the approved base capex as set out in Schedules C1 to C4</t>
  </si>
  <si>
    <t>Details of any changes to Transpower's policy of hedging capital expenditure during the disclosure year</t>
  </si>
  <si>
    <t>Regulated Asset Base (RAB) roll forward</t>
  </si>
  <si>
    <t xml:space="preserve">The opex allowance and forecast opex </t>
  </si>
  <si>
    <t>The regulatory tax allowance</t>
  </si>
  <si>
    <t>Calculation of base capex expenditure adjustment</t>
  </si>
  <si>
    <t>Calculation of major capex expenditure and output adjustment</t>
  </si>
  <si>
    <t>Calculation of grid output adjustment</t>
  </si>
  <si>
    <t>Standard incentive rate base capex allowance - expenditure basis (excluding capitalised operating leases)</t>
  </si>
  <si>
    <t xml:space="preserve">Amount of the standard incentive rate base capex allowance paid for in foreign currency - expenditure basis (excluding capitalised operating leases) </t>
  </si>
  <si>
    <t>Compliance checklist for Wash-up building blocks calculation</t>
  </si>
  <si>
    <t>Compliance checklist for EV account summary</t>
  </si>
  <si>
    <t>The Annual Compliance Statement - Part 2 (alternative)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</si>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</sst>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44" formatCode="_-&quot;$&quot;* #,##0.00_-;\-&quot;$&quot;* #,##0.00_-;_-&quot;$&quot;* &quot;-&quot;??_-;_-@_-"/>
    <numFmt numFmtId="43" formatCode="_-* #,##0.00_-;\-* #,##0.00_-;_-* &quot;-&quot;??_-;_-@_-"/>
    <numFmt numFmtId="164" formatCode="_(* #,##0.00_);_(* \(#,##0.00\);_(* &quot;-&quot;??_);_(@_)"/>
    <numFmt numFmtId="165" formatCode="#,##0_-;\(#,##0\)"/>
    <numFmt numFmtId="166" formatCode="0.0%"/>
    <numFmt numFmtId="167" formatCode="#,##0.000_-;\(#,##0.000\)"/>
    <numFmt numFmtId="168" formatCode="#,##0.00_-;\(#,##0.00\)"/>
    <numFmt numFmtId="169" formatCode="#,##0.0_-;\(#,##0.0\)"/>
    <numFmt numFmtId="170" formatCode="0.0"/>
    <numFmt numFmtId="171" formatCode="#,##0.0000000_-;\(#,##0.0000000\)"/>
    <numFmt numFmtId="172" formatCode="0.000%"/>
    <numFmt numFmtId="173" formatCode="0.000"/>
    <numFmt numFmtId="174" formatCode="#,##0.0"/>
    <numFmt numFmtId="175" formatCode="_-* #,##0_-;\-* #,##0_-;_-* &quot;-&quot;??_-;_-@_-"/>
    <numFmt numFmtId="176" formatCode="_-* #,##0.0_-;\(#,##0.0\)_-;_-* &quot;-&quot;_-;_-@_-"/>
    <numFmt numFmtId="177" formatCode="_-* #,##0.0_-;\-* #,##0.0_-;_-* &quot;-&quot;??_-;_-@_-"/>
    <numFmt numFmtId="178" formatCode="#,##0.00;\(#,##0.00\);\-"/>
    <numFmt numFmtId="179" formatCode="d/mm/yyyy\ hh:mm"/>
    <numFmt numFmtId="180" formatCode="_-* #,##0.000_-;\-* #,##0.000_-;_-* &quot;-&quot;??_-;_-@_-"/>
    <numFmt numFmtId="181" formatCode="0.00000%"/>
    <numFmt numFmtId="182" formatCode="d\ mmmm\ yyyy"/>
    <numFmt numFmtId="183" formatCode="dd\ mmmm\ yyyy"/>
    <numFmt numFmtId="184" formatCode="#,##0.000000000000"/>
    <numFmt numFmtId="185" formatCode="0.00000"/>
  </numFmts>
  <fonts count="133"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FF0000"/>
      <name val="Aptos Narrow"/>
      <family val="2"/>
      <scheme val="minor"/>
    </font>
    <font>
      <b/>
      <sz val="11"/>
      <color theme="1"/>
      <name val="Aptos Narrow"/>
      <family val="2"/>
      <scheme val="minor"/>
    </font>
    <font>
      <sz val="8"/>
      <color theme="1"/>
      <name val="Aptos Narrow"/>
      <family val="2"/>
      <scheme val="minor"/>
    </font>
    <font>
      <sz val="10"/>
      <color theme="1"/>
      <name val="Calibri"/>
      <family val="2"/>
    </font>
    <font>
      <b/>
      <sz val="10"/>
      <color theme="1"/>
      <name val="Calibri"/>
      <family val="2"/>
    </font>
    <font>
      <b/>
      <sz val="11"/>
      <color theme="4" tint="-0.249977111117893"/>
      <name val="Aptos Narrow"/>
      <family val="2"/>
      <scheme val="minor"/>
    </font>
    <font>
      <i/>
      <sz val="10"/>
      <color theme="1"/>
      <name val="Calibri"/>
      <family val="2"/>
    </font>
    <font>
      <sz val="11"/>
      <name val="Aptos Narrow"/>
      <family val="2"/>
      <scheme val="minor"/>
    </font>
    <font>
      <u/>
      <sz val="11"/>
      <color theme="10"/>
      <name val="Aptos Narrow"/>
      <family val="2"/>
      <scheme val="minor"/>
    </font>
    <font>
      <b/>
      <u/>
      <sz val="14"/>
      <color theme="10"/>
      <name val="Aptos Narrow"/>
      <family val="2"/>
      <scheme val="minor"/>
    </font>
    <font>
      <sz val="11"/>
      <color rgb="FF0070C0"/>
      <name val="Aptos Narrow"/>
      <family val="2"/>
      <scheme val="minor"/>
    </font>
    <font>
      <b/>
      <sz val="11"/>
      <color rgb="FFFF0000"/>
      <name val="Aptos Narrow"/>
      <family val="2"/>
      <scheme val="minor"/>
    </font>
    <font>
      <sz val="10"/>
      <name val="Calibri"/>
      <family val="2"/>
    </font>
    <font>
      <b/>
      <sz val="14"/>
      <color rgb="FF0070C0"/>
      <name val="Calibri"/>
      <family val="2"/>
    </font>
    <font>
      <i/>
      <sz val="11"/>
      <color theme="1"/>
      <name val="Aptos Narrow"/>
      <family val="2"/>
      <scheme val="minor"/>
    </font>
    <font>
      <b/>
      <sz val="11"/>
      <color theme="0" tint="-0.499984740745262"/>
      <name val="Aptos Narrow"/>
      <family val="2"/>
      <scheme val="minor"/>
    </font>
    <font>
      <sz val="11"/>
      <color theme="0" tint="-0.499984740745262"/>
      <name val="Aptos Narrow"/>
      <family val="2"/>
      <scheme val="minor"/>
    </font>
    <font>
      <sz val="11"/>
      <color theme="4"/>
      <name val="Aptos Narrow"/>
      <family val="2"/>
      <scheme val="minor"/>
    </font>
    <font>
      <i/>
      <sz val="8"/>
      <color theme="0" tint="-0.499984740745262"/>
      <name val="Aptos Narrow"/>
      <family val="2"/>
      <scheme val="minor"/>
    </font>
    <font>
      <b/>
      <i/>
      <sz val="8"/>
      <color theme="0" tint="-0.499984740745262"/>
      <name val="Aptos Narrow"/>
      <family val="2"/>
      <scheme val="minor"/>
    </font>
    <font>
      <b/>
      <u/>
      <sz val="11"/>
      <color theme="1"/>
      <name val="Aptos Narrow"/>
      <family val="2"/>
      <scheme val="minor"/>
    </font>
    <font>
      <b/>
      <sz val="11"/>
      <color rgb="FF92D050"/>
      <name val="Aptos Narrow"/>
      <family val="2"/>
      <scheme val="minor"/>
    </font>
    <font>
      <b/>
      <sz val="11"/>
      <color rgb="FFFFFF00"/>
      <name val="Aptos Narrow"/>
      <family val="2"/>
      <scheme val="minor"/>
    </font>
    <font>
      <b/>
      <sz val="11"/>
      <color rgb="FF7030A0"/>
      <name val="Aptos Narrow"/>
      <family val="2"/>
      <scheme val="minor"/>
    </font>
    <font>
      <b/>
      <sz val="22"/>
      <color theme="1"/>
      <name val="Aptos Narrow"/>
      <family val="2"/>
      <scheme val="minor"/>
    </font>
    <font>
      <sz val="18"/>
      <color theme="1"/>
      <name val="Aptos Narrow"/>
      <family val="2"/>
      <scheme val="minor"/>
    </font>
    <font>
      <b/>
      <sz val="11"/>
      <color theme="4"/>
      <name val="Aptos Narrow"/>
      <family val="2"/>
      <scheme val="minor"/>
    </font>
    <font>
      <sz val="11"/>
      <color rgb="FFFFFF00"/>
      <name val="Aptos Narrow"/>
      <family val="2"/>
      <scheme val="minor"/>
    </font>
    <font>
      <i/>
      <sz val="8"/>
      <color theme="4"/>
      <name val="Aptos Narrow"/>
      <family val="2"/>
      <scheme val="minor"/>
    </font>
    <font>
      <i/>
      <sz val="11"/>
      <color theme="0" tint="-0.499984740745262"/>
      <name val="Aptos Narrow"/>
      <family val="2"/>
      <scheme val="minor"/>
    </font>
    <font>
      <b/>
      <i/>
      <sz val="11"/>
      <color theme="0" tint="-0.499984740745262"/>
      <name val="Aptos Narrow"/>
      <family val="2"/>
      <scheme val="minor"/>
    </font>
    <font>
      <i/>
      <sz val="8"/>
      <color theme="1"/>
      <name val="Aptos Narrow"/>
      <family val="2"/>
      <scheme val="minor"/>
    </font>
    <font>
      <b/>
      <i/>
      <sz val="8"/>
      <color theme="1"/>
      <name val="Aptos Narrow"/>
      <family val="2"/>
      <scheme val="minor"/>
    </font>
    <font>
      <b/>
      <i/>
      <sz val="10"/>
      <name val="Aptos"/>
      <family val="2"/>
    </font>
    <font>
      <u/>
      <sz val="8"/>
      <color theme="10"/>
      <name val="Aptos Narrow"/>
      <family val="2"/>
      <scheme val="minor"/>
    </font>
    <font>
      <i/>
      <sz val="11"/>
      <color rgb="FF0070C0"/>
      <name val="Aptos Narrow"/>
      <family val="2"/>
      <scheme val="minor"/>
    </font>
    <font>
      <b/>
      <sz val="10"/>
      <color theme="0" tint="-0.499984740745262"/>
      <name val="Calibri"/>
      <family val="2"/>
    </font>
    <font>
      <sz val="10"/>
      <color theme="0" tint="-0.499984740745262"/>
      <name val="Calibri"/>
      <family val="2"/>
    </font>
    <font>
      <i/>
      <sz val="10"/>
      <color theme="0" tint="-0.499984740745262"/>
      <name val="Calibri"/>
      <family val="2"/>
    </font>
    <font>
      <sz val="10"/>
      <color rgb="FF000000"/>
      <name val="Calibri"/>
      <family val="2"/>
    </font>
    <font>
      <b/>
      <sz val="10"/>
      <color rgb="FF000000"/>
      <name val="Calibri"/>
      <family val="2"/>
    </font>
    <font>
      <sz val="11"/>
      <color rgb="FF000000"/>
      <name val="Calibri"/>
      <family val="2"/>
    </font>
    <font>
      <sz val="8"/>
      <color theme="1"/>
      <name val="Calibri"/>
      <family val="2"/>
    </font>
    <font>
      <b/>
      <sz val="10"/>
      <color theme="4"/>
      <name val="Calibri"/>
      <family val="2"/>
    </font>
    <font>
      <b/>
      <sz val="10"/>
      <name val="Calibri"/>
      <family val="2"/>
    </font>
    <font>
      <sz val="11"/>
      <color theme="0"/>
      <name val="Aptos Narrow"/>
      <family val="2"/>
      <scheme val="minor"/>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sz val="10"/>
      <name val="Aptos Narrow"/>
      <family val="2"/>
      <scheme val="minor"/>
    </font>
    <font>
      <sz val="10"/>
      <name val="Arial"/>
      <family val="2"/>
    </font>
    <font>
      <sz val="10"/>
      <color theme="1"/>
      <name val="Aptos Narrow"/>
      <family val="4"/>
      <scheme val="minor"/>
    </font>
    <font>
      <sz val="10"/>
      <color indexed="8"/>
      <name val="Calibri"/>
      <family val="2"/>
    </font>
    <font>
      <i/>
      <sz val="10"/>
      <name val="Aptos Narrow"/>
      <family val="2"/>
      <scheme val="minor"/>
    </font>
    <font>
      <sz val="10"/>
      <color theme="1"/>
      <name val="Arial"/>
      <family val="2"/>
    </font>
    <font>
      <sz val="11"/>
      <color indexed="8"/>
      <name val="Aptos Narrow"/>
      <family val="2"/>
      <scheme val="minor"/>
    </font>
    <font>
      <b/>
      <sz val="11"/>
      <color theme="0"/>
      <name val="Aptos Narrow"/>
      <family val="2"/>
      <scheme val="minor"/>
    </font>
    <font>
      <sz val="11"/>
      <name val="Calibri"/>
      <family val="2"/>
    </font>
    <font>
      <sz val="11"/>
      <color rgb="FF000000"/>
      <name val="Aptos Narrow"/>
      <family val="2"/>
      <scheme val="minor"/>
    </font>
    <font>
      <b/>
      <sz val="11"/>
      <name val="Aptos Narrow"/>
      <family val="2"/>
      <scheme val="minor"/>
    </font>
    <font>
      <b/>
      <sz val="10"/>
      <color theme="0"/>
      <name val="Aptos Narrow"/>
      <family val="2"/>
      <scheme val="minor"/>
    </font>
    <font>
      <sz val="10"/>
      <color theme="1"/>
      <name val="Aptos Narrow"/>
      <family val="2"/>
      <scheme val="minor"/>
    </font>
    <font>
      <u/>
      <sz val="10"/>
      <color theme="10"/>
      <name val="Aptos Narrow"/>
      <family val="4"/>
      <scheme val="minor"/>
    </font>
    <font>
      <sz val="11"/>
      <color theme="9" tint="-0.249977111117893"/>
      <name val="Aptos Narrow"/>
      <family val="2"/>
      <scheme val="minor"/>
    </font>
    <font>
      <u/>
      <sz val="11"/>
      <color theme="9" tint="-0.249977111117893"/>
      <name val="Aptos Narrow"/>
      <family val="2"/>
      <scheme val="minor"/>
    </font>
    <font>
      <b/>
      <sz val="10"/>
      <color theme="0"/>
      <name val="Calibri"/>
      <family val="2"/>
    </font>
    <font>
      <b/>
      <u/>
      <sz val="14"/>
      <color theme="0"/>
      <name val="Aptos Narrow"/>
      <family val="2"/>
      <scheme val="minor"/>
    </font>
    <font>
      <b/>
      <u/>
      <sz val="10"/>
      <color theme="0"/>
      <name val="Aptos Narrow"/>
      <family val="2"/>
      <scheme val="minor"/>
    </font>
    <font>
      <sz val="10"/>
      <color theme="0"/>
      <name val="Aptos Narrow"/>
      <family val="2"/>
      <scheme val="minor"/>
    </font>
    <font>
      <sz val="9"/>
      <color theme="0"/>
      <name val="Aptos Narrow"/>
      <family val="2"/>
      <scheme val="minor"/>
    </font>
    <font>
      <b/>
      <sz val="14"/>
      <color theme="0"/>
      <name val="Aptos Narrow"/>
      <family val="2"/>
      <scheme val="minor"/>
    </font>
    <font>
      <b/>
      <sz val="16"/>
      <color theme="0" tint="-4.9989318521683403E-2"/>
      <name val="Calibri"/>
      <family val="2"/>
    </font>
    <font>
      <b/>
      <sz val="14"/>
      <color theme="0" tint="-4.9989318521683403E-2"/>
      <name val="Aptos Narrow"/>
      <family val="2"/>
      <scheme val="minor"/>
    </font>
    <font>
      <sz val="11"/>
      <color theme="0" tint="-4.9989318521683403E-2"/>
      <name val="Aptos Narrow"/>
      <family val="2"/>
      <scheme val="minor"/>
    </font>
    <font>
      <b/>
      <sz val="11"/>
      <color theme="0" tint="-4.9989318521683403E-2"/>
      <name val="Aptos Narrow"/>
      <family val="2"/>
      <scheme val="minor"/>
    </font>
    <font>
      <sz val="8"/>
      <name val="Aptos Narrow"/>
      <family val="2"/>
      <scheme val="minor"/>
    </font>
    <font>
      <i/>
      <sz val="11"/>
      <color rgb="FFFF0000"/>
      <name val="Aptos Narrow"/>
      <family val="2"/>
      <scheme val="minor"/>
    </font>
    <font>
      <b/>
      <sz val="12"/>
      <color theme="0"/>
      <name val="Aptos Narrow"/>
      <family val="2"/>
      <scheme val="minor"/>
    </font>
    <font>
      <sz val="11"/>
      <color theme="0"/>
      <name val="Calibri"/>
      <family val="2"/>
    </font>
    <font>
      <b/>
      <sz val="14"/>
      <color theme="10"/>
      <name val="Aptos Narrow"/>
      <family val="2"/>
      <scheme val="minor"/>
    </font>
    <font>
      <b/>
      <sz val="14"/>
      <color rgb="FF0070C0"/>
      <name val="Aptos Display"/>
      <family val="2"/>
      <scheme val="major"/>
    </font>
    <font>
      <sz val="11"/>
      <color theme="1"/>
      <name val="Calibri"/>
      <family val="2"/>
    </font>
    <font>
      <b/>
      <sz val="11"/>
      <color rgb="FF0070C0"/>
      <name val="Calibri"/>
      <family val="2"/>
    </font>
    <font>
      <sz val="11"/>
      <color theme="4" tint="-0.249977111117893"/>
      <name val="Aptos Narrow"/>
      <family val="2"/>
      <scheme val="minor"/>
    </font>
    <font>
      <b/>
      <sz val="8"/>
      <color theme="1"/>
      <name val="Aptos Narrow"/>
      <family val="2"/>
      <scheme val="minor"/>
    </font>
    <font>
      <b/>
      <u/>
      <sz val="11"/>
      <color theme="10"/>
      <name val="Aptos Narrow"/>
      <family val="2"/>
      <scheme val="minor"/>
    </font>
    <font>
      <b/>
      <i/>
      <sz val="11"/>
      <color rgb="FFFF0000"/>
      <name val="Aptos Narrow"/>
      <family val="2"/>
      <scheme val="minor"/>
    </font>
    <font>
      <b/>
      <sz val="40"/>
      <color theme="3" tint="0.249977111117893"/>
      <name val="Aptos Narrow"/>
      <family val="2"/>
      <scheme val="minor"/>
    </font>
    <font>
      <b/>
      <i/>
      <sz val="11"/>
      <color rgb="FF002060"/>
      <name val="Aptos Narrow"/>
      <family val="2"/>
      <scheme val="minor"/>
    </font>
    <font>
      <b/>
      <i/>
      <sz val="11"/>
      <name val="Aptos Narrow"/>
      <family val="2"/>
      <scheme val="minor"/>
    </font>
    <font>
      <sz val="10"/>
      <color theme="0" tint="-0.249977111117893"/>
      <name val="Calibri"/>
      <family val="2"/>
    </font>
    <font>
      <vertAlign val="subscript"/>
      <sz val="11"/>
      <name val="Calibri"/>
      <family val="2"/>
    </font>
    <font>
      <vertAlign val="superscript"/>
      <sz val="11"/>
      <name val="Calibri"/>
      <family val="2"/>
    </font>
    <font>
      <b/>
      <sz val="11"/>
      <color rgb="FF256FA1"/>
      <name val="Aptos Narrow"/>
      <family val="2"/>
      <scheme val="minor"/>
    </font>
    <font>
      <sz val="8"/>
      <color theme="4"/>
      <name val="Aptos Narrow"/>
      <family val="2"/>
      <scheme val="minor"/>
    </font>
    <font>
      <sz val="15"/>
      <color theme="1"/>
      <name val="Aptos Narrow"/>
      <family val="2"/>
      <scheme val="minor"/>
    </font>
    <font>
      <b/>
      <sz val="14"/>
      <color theme="4"/>
      <name val="Aptos Narrow"/>
      <family val="2"/>
      <scheme val="minor"/>
    </font>
    <font>
      <b/>
      <sz val="9"/>
      <color theme="0"/>
      <name val="Aptos Narrow"/>
      <family val="2"/>
      <scheme val="minor"/>
    </font>
    <font>
      <b/>
      <sz val="12"/>
      <color theme="1"/>
      <name val="Aptos Narrow"/>
      <family val="2"/>
      <scheme val="minor"/>
    </font>
    <font>
      <sz val="11"/>
      <color theme="3" tint="0.249977111117893"/>
      <name val="Aptos Narrow"/>
      <family val="2"/>
      <scheme val="minor"/>
    </font>
    <font>
      <sz val="11"/>
      <color rgb="FF256FA1"/>
      <name val="Aptos Narrow"/>
      <family val="2"/>
      <scheme val="minor"/>
    </font>
    <font>
      <b/>
      <sz val="10"/>
      <color rgb="FF000000"/>
      <name val="Aptos Narrow"/>
      <family val="2"/>
      <scheme val="minor"/>
    </font>
    <font>
      <b/>
      <sz val="10"/>
      <color rgb="FF808080"/>
      <name val="Aptos Narrow"/>
      <family val="2"/>
      <scheme val="minor"/>
    </font>
    <font>
      <sz val="11"/>
      <color rgb="FF808080"/>
      <name val="Aptos Narrow"/>
      <family val="2"/>
      <scheme val="minor"/>
    </font>
    <font>
      <sz val="11"/>
      <color theme="3" tint="0.499984740745262"/>
      <name val="Aptos Narrow"/>
      <family val="2"/>
      <scheme val="minor"/>
    </font>
    <font>
      <b/>
      <sz val="11"/>
      <color rgb="FF000000"/>
      <name val="Aptos Narrow"/>
      <family val="2"/>
      <scheme val="minor"/>
    </font>
    <font>
      <b/>
      <sz val="11"/>
      <color rgb="FF808080"/>
      <name val="Aptos Narrow"/>
      <family val="2"/>
      <scheme val="minor"/>
    </font>
    <font>
      <b/>
      <sz val="13"/>
      <color rgb="FFFF0000"/>
      <name val="Aptos Narrow"/>
      <family val="2"/>
      <scheme val="minor"/>
    </font>
    <font>
      <b/>
      <sz val="10"/>
      <color theme="1"/>
      <name val="Aptos Narrow"/>
      <family val="2"/>
      <scheme val="minor"/>
    </font>
    <font>
      <sz val="10"/>
      <color theme="4" tint="-0.249977111117893"/>
      <name val="Aptos Narrow"/>
      <family val="2"/>
      <scheme val="minor"/>
    </font>
    <font>
      <sz val="10"/>
      <color theme="4"/>
      <name val="Aptos Narrow"/>
      <family val="2"/>
      <scheme val="minor"/>
    </font>
    <font>
      <i/>
      <sz val="10"/>
      <color theme="1"/>
      <name val="Aptos Narrow"/>
      <family val="2"/>
      <scheme val="minor"/>
    </font>
    <font>
      <b/>
      <sz val="13"/>
      <color theme="0"/>
      <name val="Aptos Narrow"/>
      <family val="2"/>
      <scheme val="minor"/>
    </font>
    <font>
      <b/>
      <i/>
      <sz val="11"/>
      <color theme="4"/>
      <name val="Aptos Narrow"/>
      <family val="2"/>
      <scheme val="minor"/>
    </font>
    <font>
      <i/>
      <sz val="10"/>
      <color theme="0" tint="-0.499984740745262"/>
      <name val="Aptos Narrow"/>
      <family val="2"/>
      <scheme val="minor"/>
    </font>
    <font>
      <sz val="10"/>
      <color rgb="FF006100"/>
      <name val="Aptos Narrow"/>
      <family val="2"/>
      <scheme val="minor"/>
    </font>
    <font>
      <b/>
      <sz val="14"/>
      <color rgb="FF0070C0"/>
      <name val="Aptos Narrow"/>
      <family val="2"/>
      <scheme val="minor"/>
    </font>
    <font>
      <b/>
      <strike/>
      <sz val="10"/>
      <color rgb="FF000000"/>
      <name val="Aptos Narrow"/>
      <family val="2"/>
      <scheme val="minor"/>
    </font>
    <font>
      <b/>
      <sz val="10"/>
      <color rgb="FFFF0000"/>
      <name val="Aptos Narrow"/>
      <family val="2"/>
      <scheme val="minor"/>
    </font>
    <font>
      <b/>
      <sz val="10"/>
      <color theme="4" tint="-0.249977111117893"/>
      <name val="Aptos Narrow"/>
      <family val="2"/>
      <scheme val="minor"/>
    </font>
    <font>
      <u/>
      <sz val="10"/>
      <color rgb="FFFF0000"/>
      <name val="Aptos Narrow"/>
      <family val="2"/>
      <scheme val="minor"/>
    </font>
    <font>
      <b/>
      <sz val="10"/>
      <name val="Aptos Narrow"/>
      <family val="2"/>
      <scheme val="minor"/>
    </font>
    <font>
      <i/>
      <sz val="8"/>
      <name val="Aptos Narrow"/>
      <family val="2"/>
      <scheme val="minor"/>
    </font>
    <font>
      <i/>
      <sz val="11"/>
      <name val="Aptos Narrow"/>
      <family val="2"/>
      <scheme val="minor"/>
    </font>
  </fonts>
  <fills count="32">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lightUp">
        <bgColor theme="0"/>
      </patternFill>
    </fill>
    <fill>
      <patternFill patternType="solid">
        <fgColor theme="0" tint="-0.14999847407452621"/>
        <bgColor indexed="64"/>
      </patternFill>
    </fill>
    <fill>
      <patternFill patternType="lightUp">
        <bgColor theme="0" tint="-0.14999847407452621"/>
      </patternFill>
    </fill>
    <fill>
      <patternFill patternType="solid">
        <fgColor rgb="FFFFFF99"/>
        <bgColor indexed="64"/>
      </patternFill>
    </fill>
    <fill>
      <patternFill patternType="solid">
        <fgColor rgb="FFFFFFFF"/>
        <bgColor rgb="FF000000"/>
      </patternFill>
    </fill>
    <fill>
      <patternFill patternType="solid">
        <fgColor theme="0"/>
        <bgColor rgb="FF000000"/>
      </patternFill>
    </fill>
    <fill>
      <patternFill patternType="solid">
        <fgColor theme="3" tint="0.89999084444715716"/>
        <bgColor indexed="64"/>
      </patternFill>
    </fill>
    <fill>
      <patternFill patternType="solid">
        <fgColor theme="3" tint="0.89999084444715716"/>
        <bgColor rgb="FF000000"/>
      </patternFill>
    </fill>
    <fill>
      <patternFill patternType="solid">
        <fgColor theme="7" tint="0.79998168889431442"/>
        <bgColor indexed="64"/>
      </patternFill>
    </fill>
    <fill>
      <patternFill patternType="solid">
        <fgColor rgb="FFBED7A5"/>
        <bgColor indexed="64"/>
      </patternFill>
    </fill>
    <fill>
      <patternFill patternType="solid">
        <fgColor theme="8" tint="0.79998168889431442"/>
        <bgColor indexed="64"/>
      </patternFill>
    </fill>
    <fill>
      <patternFill patternType="solid">
        <fgColor rgb="FFCCFFCC"/>
        <bgColor indexed="64"/>
      </patternFill>
    </fill>
    <fill>
      <patternFill patternType="solid">
        <fgColor indexed="27"/>
        <bgColor indexed="64"/>
      </patternFill>
    </fill>
    <fill>
      <patternFill patternType="solid">
        <fgColor rgb="FFDEFBE6"/>
        <bgColor indexed="64"/>
      </patternFill>
    </fill>
    <fill>
      <patternFill patternType="solid">
        <fgColor theme="0"/>
        <bgColor theme="4"/>
      </patternFill>
    </fill>
    <fill>
      <patternFill patternType="solid">
        <fgColor theme="0"/>
        <bgColor theme="4" tint="0.79998168889431442"/>
      </patternFill>
    </fill>
    <fill>
      <patternFill patternType="solid">
        <fgColor rgb="FFFCF7D6"/>
        <bgColor indexed="64"/>
      </patternFill>
    </fill>
    <fill>
      <patternFill patternType="solid">
        <fgColor theme="4"/>
        <bgColor indexed="64"/>
      </patternFill>
    </fill>
    <fill>
      <patternFill patternType="solid">
        <fgColor rgb="FF256F96"/>
        <bgColor indexed="64"/>
      </patternFill>
    </fill>
    <fill>
      <patternFill patternType="solid">
        <fgColor rgb="FF256F90"/>
        <bgColor indexed="64"/>
      </patternFill>
    </fill>
    <fill>
      <patternFill patternType="lightUp">
        <bgColor theme="3" tint="0.89999084444715716"/>
      </patternFill>
    </fill>
    <fill>
      <patternFill patternType="solid">
        <fgColor theme="3" tint="0.89999084444715716"/>
        <bgColor theme="4" tint="0.79998168889431442"/>
      </patternFill>
    </fill>
    <fill>
      <patternFill patternType="solid">
        <fgColor theme="0" tint="-0.249977111117893"/>
        <bgColor indexed="64"/>
      </patternFill>
    </fill>
    <fill>
      <patternFill patternType="solid">
        <fgColor theme="2"/>
        <bgColor indexed="64"/>
      </patternFill>
    </fill>
    <fill>
      <patternFill patternType="lightDown">
        <bgColor theme="0"/>
      </patternFill>
    </fill>
    <fill>
      <patternFill patternType="lightDown">
        <bgColor theme="3" tint="0.89996032593768116"/>
      </patternFill>
    </fill>
    <fill>
      <patternFill patternType="solid">
        <fgColor theme="0" tint="-4.9989318521683403E-2"/>
        <bgColor indexed="64"/>
      </patternFill>
    </fill>
  </fills>
  <borders count="8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top style="thin">
        <color indexed="64"/>
      </top>
      <bottom/>
      <diagonal/>
    </border>
    <border>
      <left style="dashed">
        <color indexed="64"/>
      </left>
      <right/>
      <top/>
      <bottom/>
      <diagonal/>
    </border>
    <border>
      <left style="dashed">
        <color indexed="64"/>
      </left>
      <right style="dashed">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style="dotted">
        <color rgb="FF3BAB5A"/>
      </left>
      <right style="dotted">
        <color rgb="FF3BAB5A"/>
      </right>
      <top style="dotted">
        <color rgb="FF3BAB5A"/>
      </top>
      <bottom style="dotted">
        <color rgb="FF3BAB5A"/>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dashed">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dotted">
        <color auto="1"/>
      </right>
      <top/>
      <bottom/>
      <diagonal/>
    </border>
    <border>
      <left/>
      <right style="dotted">
        <color auto="1"/>
      </right>
      <top style="thin">
        <color indexed="64"/>
      </top>
      <bottom/>
      <diagonal/>
    </border>
    <border>
      <left style="hair">
        <color auto="1"/>
      </left>
      <right/>
      <top/>
      <bottom/>
      <diagonal/>
    </border>
    <border>
      <left style="hair">
        <color auto="1"/>
      </left>
      <right/>
      <top/>
      <bottom style="thin">
        <color auto="1"/>
      </bottom>
      <diagonal/>
    </border>
    <border>
      <left style="dotted">
        <color auto="1"/>
      </left>
      <right/>
      <top style="thin">
        <color indexed="64"/>
      </top>
      <bottom/>
      <diagonal/>
    </border>
    <border>
      <left style="dotted">
        <color auto="1"/>
      </left>
      <right/>
      <top/>
      <bottom/>
      <diagonal/>
    </border>
  </borders>
  <cellStyleXfs count="179">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164" fontId="1" fillId="0" borderId="0" applyFont="0" applyFill="0" applyBorder="0" applyAlignment="0" applyProtection="0"/>
    <xf numFmtId="0" fontId="11" fillId="0" borderId="0" applyNumberFormat="0" applyFill="0" applyBorder="0" applyAlignment="0" applyProtection="0"/>
    <xf numFmtId="3" fontId="50" fillId="0" borderId="51" applyFill="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43" fontId="1" fillId="0" borderId="0" applyFont="0" applyFill="0" applyBorder="0" applyAlignment="0" applyProtection="0"/>
    <xf numFmtId="0" fontId="49" fillId="0" borderId="50" applyNumberFormat="0" applyFill="0" applyProtection="0">
      <alignment horizontal="center" vertical="center"/>
    </xf>
    <xf numFmtId="3" fontId="50" fillId="0" borderId="51" applyFont="0" applyFill="0" applyAlignment="0" applyProtection="0"/>
    <xf numFmtId="3" fontId="50" fillId="0" borderId="51" applyFont="0" applyFill="0" applyAlignment="0" applyProtection="0"/>
    <xf numFmtId="3" fontId="50" fillId="0" borderId="51" applyFont="0" applyFill="0" applyAlignment="0" applyProtection="0"/>
    <xf numFmtId="3" fontId="50" fillId="0" borderId="51" applyFont="0" applyFill="0" applyAlignment="0" applyProtection="0"/>
    <xf numFmtId="3" fontId="50" fillId="0" borderId="51" applyFont="0" applyFill="0" applyAlignment="0" applyProtection="0"/>
    <xf numFmtId="3" fontId="50" fillId="0" borderId="51" applyFont="0" applyFill="0" applyAlignment="0" applyProtection="0"/>
    <xf numFmtId="3" fontId="50" fillId="0" borderId="51" applyFont="0" applyFill="0" applyAlignment="0" applyProtection="0"/>
    <xf numFmtId="3" fontId="50" fillId="0" borderId="51" applyFont="0" applyFill="0" applyAlignment="0" applyProtection="0"/>
    <xf numFmtId="3" fontId="49" fillId="0" borderId="50" applyNumberFormat="0" applyFill="0" applyAlignment="0" applyProtection="0"/>
    <xf numFmtId="0" fontId="49" fillId="0" borderId="50" applyNumberFormat="0" applyFill="0" applyAlignment="0" applyProtection="0"/>
    <xf numFmtId="3"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3" fontId="50" fillId="0" borderId="0" applyNumberFormat="0" applyBorder="0" applyAlignment="0" applyProtection="0"/>
    <xf numFmtId="3" fontId="50" fillId="0" borderId="0" applyNumberFormat="0" applyBorder="0" applyAlignment="0" applyProtection="0"/>
    <xf numFmtId="3" fontId="50" fillId="0" borderId="0" applyNumberFormat="0" applyBorder="0" applyAlignment="0" applyProtection="0"/>
    <xf numFmtId="3" fontId="50" fillId="0" borderId="0" applyNumberFormat="0" applyBorder="0" applyAlignment="0" applyProtection="0"/>
    <xf numFmtId="3" fontId="50" fillId="0" borderId="0" applyNumberFormat="0" applyBorder="0" applyAlignment="0" applyProtection="0"/>
    <xf numFmtId="3" fontId="50" fillId="0" borderId="51" applyNumberFormat="0" applyBorder="0" applyAlignment="0" applyProtection="0"/>
    <xf numFmtId="3" fontId="50" fillId="0" borderId="51" applyNumberFormat="0" applyBorder="0" applyAlignment="0" applyProtection="0"/>
    <xf numFmtId="3" fontId="50" fillId="0" borderId="51" applyNumberFormat="0" applyBorder="0" applyAlignment="0" applyProtection="0"/>
    <xf numFmtId="0" fontId="50" fillId="0" borderId="51" applyNumberFormat="0" applyFill="0" applyAlignment="0" applyProtection="0"/>
    <xf numFmtId="0" fontId="50" fillId="0" borderId="51" applyNumberFormat="0" applyFill="0" applyAlignment="0" applyProtection="0"/>
    <xf numFmtId="0" fontId="50" fillId="0" borderId="51">
      <alignment horizontal="right" vertical="center"/>
    </xf>
    <xf numFmtId="3" fontId="50" fillId="14" borderId="51">
      <alignment horizontal="center" vertical="center"/>
    </xf>
    <xf numFmtId="0" fontId="50" fillId="14" borderId="51">
      <alignment horizontal="right" vertical="center"/>
    </xf>
    <xf numFmtId="0" fontId="49" fillId="0" borderId="52">
      <alignment horizontal="left" vertical="center"/>
    </xf>
    <xf numFmtId="0" fontId="49" fillId="0" borderId="53">
      <alignment horizontal="center" vertical="center"/>
    </xf>
    <xf numFmtId="0" fontId="51" fillId="0" borderId="54">
      <alignment horizontal="center" vertical="center"/>
    </xf>
    <xf numFmtId="0" fontId="50" fillId="15" borderId="51"/>
    <xf numFmtId="3" fontId="52" fillId="0" borderId="51"/>
    <xf numFmtId="3" fontId="53" fillId="0" borderId="51"/>
    <xf numFmtId="0" fontId="49" fillId="0" borderId="53">
      <alignment horizontal="left" vertical="top"/>
    </xf>
    <xf numFmtId="0" fontId="54" fillId="0" borderId="51"/>
    <xf numFmtId="0" fontId="49" fillId="0" borderId="53">
      <alignment horizontal="left" vertical="center"/>
    </xf>
    <xf numFmtId="0" fontId="50" fillId="14" borderId="55"/>
    <xf numFmtId="3" fontId="50" fillId="0" borderId="51">
      <alignment horizontal="right" vertical="center"/>
    </xf>
    <xf numFmtId="0" fontId="49" fillId="0" borderId="53">
      <alignment horizontal="right" vertical="center"/>
    </xf>
    <xf numFmtId="0" fontId="50" fillId="0" borderId="54">
      <alignment horizontal="center" vertical="center"/>
    </xf>
    <xf numFmtId="3" fontId="50" fillId="0" borderId="51"/>
    <xf numFmtId="3" fontId="50" fillId="0" borderId="51"/>
    <xf numFmtId="0" fontId="50" fillId="0" borderId="54">
      <alignment horizontal="center" vertical="center" wrapText="1"/>
    </xf>
    <xf numFmtId="0" fontId="55" fillId="0" borderId="54">
      <alignment horizontal="left" vertical="center" indent="1"/>
    </xf>
    <xf numFmtId="0" fontId="56" fillId="0" borderId="51"/>
    <xf numFmtId="0" fontId="49" fillId="0" borderId="52">
      <alignment horizontal="left" vertical="center"/>
    </xf>
    <xf numFmtId="3" fontId="50" fillId="0" borderId="51">
      <alignment horizontal="center" vertical="center"/>
    </xf>
    <xf numFmtId="0" fontId="49" fillId="0" borderId="53">
      <alignment horizontal="center" vertical="center"/>
    </xf>
    <xf numFmtId="0" fontId="49" fillId="0" borderId="53">
      <alignment horizontal="center" vertical="center"/>
    </xf>
    <xf numFmtId="0" fontId="49" fillId="0" borderId="52">
      <alignment horizontal="left" vertical="center"/>
    </xf>
    <xf numFmtId="0" fontId="49" fillId="0" borderId="52">
      <alignment horizontal="left" vertical="center"/>
    </xf>
    <xf numFmtId="0" fontId="57" fillId="0" borderId="51"/>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9" fillId="0" borderId="0"/>
    <xf numFmtId="0" fontId="59" fillId="0" borderId="0"/>
    <xf numFmtId="0" fontId="5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9" fillId="0" borderId="53">
      <alignment horizontal="center"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3" fontId="49" fillId="18" borderId="56"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0" fontId="60" fillId="0" borderId="0"/>
    <xf numFmtId="0" fontId="49" fillId="0" borderId="50" applyFill="0" applyAlignment="0" applyProtection="0"/>
    <xf numFmtId="43" fontId="1" fillId="0" borderId="0" applyFont="0" applyFill="0" applyBorder="0" applyAlignment="0" applyProtection="0"/>
    <xf numFmtId="0" fontId="49" fillId="0" borderId="50" applyFill="0" applyAlignment="0" applyProtection="0"/>
    <xf numFmtId="0" fontId="49" fillId="0" borderId="50" applyFill="0" applyAlignment="0" applyProtection="0"/>
    <xf numFmtId="43" fontId="1" fillId="0" borderId="0" applyFont="0" applyFill="0" applyBorder="0" applyAlignment="0" applyProtection="0"/>
    <xf numFmtId="0" fontId="49" fillId="0" borderId="53">
      <alignment horizontal="center" vertical="center"/>
    </xf>
    <xf numFmtId="3" fontId="49" fillId="0" borderId="50" applyFill="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0" fillId="0" borderId="0"/>
    <xf numFmtId="43" fontId="1" fillId="0" borderId="0" applyFont="0" applyFill="0" applyBorder="0" applyAlignment="0" applyProtection="0"/>
    <xf numFmtId="43" fontId="1" fillId="0" borderId="0" applyFont="0" applyFill="0" applyBorder="0" applyAlignment="0" applyProtection="0"/>
    <xf numFmtId="3" fontId="49" fillId="0" borderId="50" applyFill="0" applyAlignment="0" applyProtection="0"/>
    <xf numFmtId="43" fontId="1"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0" fontId="59" fillId="0" borderId="0"/>
    <xf numFmtId="0" fontId="58" fillId="8" borderId="0" applyAlignment="0"/>
    <xf numFmtId="0" fontId="61" fillId="16" borderId="0" applyFont="0" applyAlignment="0"/>
    <xf numFmtId="0" fontId="1" fillId="0" borderId="0"/>
    <xf numFmtId="0" fontId="62" fillId="8" borderId="25">
      <alignment horizontal="right"/>
    </xf>
    <xf numFmtId="0" fontId="58" fillId="8" borderId="0" applyBorder="0">
      <alignment horizontal="left"/>
    </xf>
    <xf numFmtId="0" fontId="1" fillId="0" borderId="0"/>
    <xf numFmtId="0" fontId="1" fillId="0" borderId="0"/>
    <xf numFmtId="0" fontId="1" fillId="0" borderId="0"/>
    <xf numFmtId="0" fontId="1" fillId="0" borderId="0"/>
    <xf numFmtId="178" fontId="15" fillId="8" borderId="0" applyFont="0" applyBorder="0" applyProtection="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6" borderId="0" applyAlignment="0">
      <alignment horizontal="center"/>
    </xf>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8" borderId="25">
      <alignment horizontal="right"/>
    </xf>
    <xf numFmtId="4" fontId="59" fillId="17" borderId="0" applyFont="0" applyBorder="0" applyAlignment="0">
      <alignment horizontal="right"/>
    </xf>
    <xf numFmtId="0" fontId="63" fillId="0" borderId="0"/>
    <xf numFmtId="0" fontId="64" fillId="0" borderId="0"/>
    <xf numFmtId="43" fontId="64" fillId="0" borderId="0" applyFont="0" applyFill="0" applyBorder="0" applyAlignment="0" applyProtection="0"/>
    <xf numFmtId="0" fontId="1" fillId="0" borderId="0"/>
    <xf numFmtId="43" fontId="1" fillId="0" borderId="0" applyFont="0" applyFill="0" applyBorder="0" applyAlignment="0" applyProtection="0"/>
    <xf numFmtId="0" fontId="64" fillId="0" borderId="0"/>
    <xf numFmtId="0" fontId="50" fillId="0" borderId="51" applyFill="0" applyAlignment="0" applyProtection="0"/>
    <xf numFmtId="0" fontId="49" fillId="0" borderId="50" applyFill="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 fontId="49" fillId="0" borderId="50" applyFill="0" applyAlignment="0" applyProtection="0"/>
    <xf numFmtId="0" fontId="49" fillId="0" borderId="50" applyFill="0" applyAlignment="0" applyProtection="0"/>
    <xf numFmtId="3" fontId="49" fillId="0" borderId="50" applyFill="0" applyAlignment="0" applyProtection="0"/>
    <xf numFmtId="0" fontId="49" fillId="0" borderId="50" applyFill="0" applyAlignment="0" applyProtection="0"/>
    <xf numFmtId="43" fontId="1" fillId="0" borderId="0" applyFont="0" applyFill="0" applyBorder="0" applyAlignment="0" applyProtection="0"/>
    <xf numFmtId="0" fontId="49" fillId="0" borderId="52">
      <alignment horizontal="left" vertical="center"/>
    </xf>
    <xf numFmtId="3" fontId="49" fillId="0" borderId="50" applyFill="0" applyAlignment="0" applyProtection="0"/>
    <xf numFmtId="43" fontId="1" fillId="0" borderId="0" applyFont="0" applyFill="0" applyBorder="0" applyAlignment="0" applyProtection="0"/>
    <xf numFmtId="3" fontId="49" fillId="0" borderId="50" applyFill="0" applyAlignment="0" applyProtection="0"/>
    <xf numFmtId="3" fontId="49" fillId="0" borderId="50" applyFill="0" applyAlignment="0" applyProtection="0"/>
    <xf numFmtId="0" fontId="67" fillId="0" borderId="0"/>
    <xf numFmtId="0" fontId="71"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322">
    <xf numFmtId="0" fontId="0" fillId="0" borderId="0" xfId="0"/>
    <xf numFmtId="0" fontId="0" fillId="3" borderId="0" xfId="0" applyFill="1"/>
    <xf numFmtId="0" fontId="5" fillId="3" borderId="1" xfId="0" applyFont="1" applyFill="1" applyBorder="1"/>
    <xf numFmtId="0" fontId="5" fillId="3" borderId="3" xfId="0" applyFont="1" applyFill="1" applyBorder="1"/>
    <xf numFmtId="0" fontId="0" fillId="3" borderId="6" xfId="0" applyFill="1" applyBorder="1" applyAlignment="1">
      <alignment vertical="center"/>
    </xf>
    <xf numFmtId="0" fontId="6" fillId="3" borderId="0" xfId="0" applyFont="1" applyFill="1"/>
    <xf numFmtId="0" fontId="7" fillId="3" borderId="0" xfId="0" applyFont="1" applyFill="1" applyAlignment="1">
      <alignment vertical="center"/>
    </xf>
    <xf numFmtId="0" fontId="6" fillId="3" borderId="8" xfId="0" applyFont="1" applyFill="1" applyBorder="1"/>
    <xf numFmtId="0" fontId="4" fillId="3" borderId="1" xfId="0" applyFont="1" applyFill="1" applyBorder="1" applyAlignment="1">
      <alignment wrapText="1"/>
    </xf>
    <xf numFmtId="0" fontId="6" fillId="3" borderId="4" xfId="0" applyFont="1" applyFill="1" applyBorder="1"/>
    <xf numFmtId="0" fontId="6" fillId="3" borderId="2" xfId="0" applyFont="1" applyFill="1" applyBorder="1"/>
    <xf numFmtId="0" fontId="7" fillId="3" borderId="1" xfId="0" applyFont="1" applyFill="1" applyBorder="1"/>
    <xf numFmtId="0" fontId="0" fillId="3" borderId="6" xfId="0" applyFill="1" applyBorder="1"/>
    <xf numFmtId="0" fontId="0" fillId="3" borderId="29" xfId="0" applyFill="1" applyBorder="1"/>
    <xf numFmtId="0" fontId="0" fillId="3" borderId="24" xfId="0" applyFill="1" applyBorder="1"/>
    <xf numFmtId="0" fontId="4" fillId="3" borderId="0" xfId="0" applyFont="1" applyFill="1"/>
    <xf numFmtId="0" fontId="0" fillId="3" borderId="25" xfId="0" applyFill="1" applyBorder="1"/>
    <xf numFmtId="0" fontId="0" fillId="3" borderId="10" xfId="0" applyFill="1" applyBorder="1"/>
    <xf numFmtId="0" fontId="0" fillId="3" borderId="11" xfId="0" applyFill="1" applyBorder="1"/>
    <xf numFmtId="0" fontId="0" fillId="3" borderId="30" xfId="0" applyFill="1" applyBorder="1"/>
    <xf numFmtId="0" fontId="4" fillId="3" borderId="6" xfId="0" applyFont="1" applyFill="1" applyBorder="1"/>
    <xf numFmtId="0" fontId="17" fillId="3" borderId="0" xfId="0" applyFont="1" applyFill="1"/>
    <xf numFmtId="0" fontId="4" fillId="3" borderId="8" xfId="0" applyFont="1" applyFill="1" applyBorder="1" applyAlignment="1">
      <alignment wrapText="1"/>
    </xf>
    <xf numFmtId="0" fontId="4" fillId="3" borderId="7" xfId="0" applyFont="1" applyFill="1" applyBorder="1" applyAlignment="1">
      <alignment wrapText="1"/>
    </xf>
    <xf numFmtId="0" fontId="4" fillId="3" borderId="1" xfId="0" applyFont="1" applyFill="1" applyBorder="1"/>
    <xf numFmtId="0" fontId="0" fillId="3" borderId="9" xfId="0" applyFill="1" applyBorder="1"/>
    <xf numFmtId="0" fontId="0" fillId="4" borderId="6" xfId="0" applyFill="1" applyBorder="1"/>
    <xf numFmtId="0" fontId="4" fillId="3" borderId="1" xfId="0" applyFont="1" applyFill="1" applyBorder="1" applyAlignment="1">
      <alignment vertical="center"/>
    </xf>
    <xf numFmtId="0" fontId="4" fillId="3" borderId="3" xfId="0" applyFont="1" applyFill="1" applyBorder="1" applyAlignment="1">
      <alignment vertical="center"/>
    </xf>
    <xf numFmtId="0" fontId="4" fillId="3" borderId="13" xfId="0" applyFont="1" applyFill="1" applyBorder="1" applyAlignment="1">
      <alignment vertical="center"/>
    </xf>
    <xf numFmtId="0" fontId="4" fillId="3" borderId="37" xfId="0" applyFont="1" applyFill="1" applyBorder="1" applyAlignment="1">
      <alignment vertical="center"/>
    </xf>
    <xf numFmtId="0" fontId="4" fillId="6" borderId="40" xfId="0" applyFont="1" applyFill="1" applyBorder="1" applyAlignment="1">
      <alignment vertical="center"/>
    </xf>
    <xf numFmtId="0" fontId="4" fillId="6" borderId="22" xfId="0" applyFont="1" applyFill="1" applyBorder="1" applyAlignment="1">
      <alignment vertical="center"/>
    </xf>
    <xf numFmtId="0" fontId="4" fillId="3" borderId="0" xfId="0" applyFont="1" applyFill="1" applyAlignment="1">
      <alignment vertical="center"/>
    </xf>
    <xf numFmtId="0" fontId="0" fillId="3" borderId="0" xfId="0" applyFill="1" applyAlignment="1">
      <alignment wrapText="1"/>
    </xf>
    <xf numFmtId="0" fontId="4" fillId="3" borderId="3" xfId="0" applyFont="1" applyFill="1" applyBorder="1" applyAlignment="1">
      <alignment wrapText="1"/>
    </xf>
    <xf numFmtId="0" fontId="0" fillId="4" borderId="25" xfId="0" applyFill="1" applyBorder="1"/>
    <xf numFmtId="0" fontId="0" fillId="3" borderId="8" xfId="0" applyFill="1" applyBorder="1"/>
    <xf numFmtId="0" fontId="4" fillId="3" borderId="2" xfId="0" applyFont="1" applyFill="1" applyBorder="1" applyAlignment="1">
      <alignment vertical="center"/>
    </xf>
    <xf numFmtId="0" fontId="0" fillId="4" borderId="10" xfId="0" applyFill="1" applyBorder="1"/>
    <xf numFmtId="0" fontId="0" fillId="4" borderId="30" xfId="0" applyFill="1" applyBorder="1"/>
    <xf numFmtId="0" fontId="3" fillId="3" borderId="0" xfId="0" applyFont="1" applyFill="1"/>
    <xf numFmtId="168" fontId="0" fillId="3" borderId="0" xfId="0" applyNumberFormat="1" applyFill="1"/>
    <xf numFmtId="0" fontId="0" fillId="3" borderId="1" xfId="0" applyFill="1" applyBorder="1"/>
    <xf numFmtId="0" fontId="4" fillId="3" borderId="14" xfId="0" applyFont="1" applyFill="1" applyBorder="1" applyAlignment="1">
      <alignment horizontal="left" wrapText="1"/>
    </xf>
    <xf numFmtId="0" fontId="0" fillId="4" borderId="25" xfId="0" applyFill="1" applyBorder="1" applyAlignment="1">
      <alignment wrapText="1"/>
    </xf>
    <xf numFmtId="0" fontId="0" fillId="4" borderId="8" xfId="0" applyFill="1" applyBorder="1"/>
    <xf numFmtId="0" fontId="0" fillId="4" borderId="24" xfId="0" applyFill="1" applyBorder="1"/>
    <xf numFmtId="0" fontId="0" fillId="4" borderId="6" xfId="0" applyFill="1" applyBorder="1" applyAlignment="1">
      <alignment horizontal="left" vertical="center"/>
    </xf>
    <xf numFmtId="0" fontId="11" fillId="0" borderId="0" xfId="5"/>
    <xf numFmtId="0" fontId="21" fillId="3" borderId="43" xfId="0" applyFont="1" applyFill="1" applyBorder="1"/>
    <xf numFmtId="0" fontId="21" fillId="3" borderId="6" xfId="0" applyFont="1" applyFill="1" applyBorder="1" applyAlignment="1">
      <alignment horizontal="right"/>
    </xf>
    <xf numFmtId="0" fontId="4" fillId="6" borderId="1" xfId="0" applyFont="1" applyFill="1" applyBorder="1" applyAlignment="1">
      <alignment vertical="center"/>
    </xf>
    <xf numFmtId="0" fontId="22" fillId="6" borderId="5" xfId="0" applyFont="1" applyFill="1" applyBorder="1" applyAlignment="1">
      <alignment vertical="center"/>
    </xf>
    <xf numFmtId="169" fontId="4" fillId="6" borderId="4" xfId="0" applyNumberFormat="1" applyFont="1" applyFill="1" applyBorder="1" applyAlignment="1">
      <alignment vertical="center"/>
    </xf>
    <xf numFmtId="169" fontId="4" fillId="6" borderId="14" xfId="0" applyNumberFormat="1" applyFont="1" applyFill="1" applyBorder="1" applyAlignment="1">
      <alignment vertical="center"/>
    </xf>
    <xf numFmtId="0" fontId="21" fillId="3" borderId="5" xfId="0" applyFont="1" applyFill="1" applyBorder="1"/>
    <xf numFmtId="0" fontId="0" fillId="3" borderId="9" xfId="0" applyFill="1" applyBorder="1" applyAlignment="1">
      <alignment vertical="center" wrapText="1"/>
    </xf>
    <xf numFmtId="0" fontId="21" fillId="5" borderId="44" xfId="0" applyFont="1" applyFill="1" applyBorder="1" applyAlignment="1">
      <alignment vertical="center"/>
    </xf>
    <xf numFmtId="0" fontId="0" fillId="3" borderId="6" xfId="0" applyFill="1" applyBorder="1" applyAlignment="1">
      <alignment vertical="center" wrapText="1"/>
    </xf>
    <xf numFmtId="0" fontId="32" fillId="5" borderId="44" xfId="0" applyFont="1" applyFill="1" applyBorder="1" applyAlignment="1">
      <alignment vertical="center"/>
    </xf>
    <xf numFmtId="0" fontId="4" fillId="6" borderId="3" xfId="0" applyFont="1" applyFill="1" applyBorder="1" applyAlignment="1">
      <alignment vertical="center"/>
    </xf>
    <xf numFmtId="0" fontId="33" fillId="6" borderId="5" xfId="0" applyFont="1" applyFill="1" applyBorder="1" applyAlignment="1">
      <alignment vertical="center"/>
    </xf>
    <xf numFmtId="169" fontId="4" fillId="6" borderId="34" xfId="0" applyNumberFormat="1" applyFont="1" applyFill="1" applyBorder="1" applyAlignment="1">
      <alignment vertical="center"/>
    </xf>
    <xf numFmtId="0" fontId="22" fillId="3" borderId="45" xfId="0" applyFont="1" applyFill="1" applyBorder="1" applyAlignment="1">
      <alignment wrapText="1"/>
    </xf>
    <xf numFmtId="0" fontId="21" fillId="3" borderId="20" xfId="0" applyFont="1" applyFill="1" applyBorder="1"/>
    <xf numFmtId="0" fontId="0" fillId="3" borderId="4" xfId="0" applyFill="1" applyBorder="1"/>
    <xf numFmtId="0" fontId="0" fillId="3" borderId="2" xfId="0" applyFill="1" applyBorder="1"/>
    <xf numFmtId="0" fontId="21" fillId="5" borderId="46" xfId="0" applyFont="1" applyFill="1" applyBorder="1" applyAlignment="1">
      <alignment vertical="center"/>
    </xf>
    <xf numFmtId="169" fontId="20" fillId="3" borderId="6" xfId="4" applyNumberFormat="1" applyFont="1" applyFill="1" applyBorder="1" applyAlignment="1">
      <alignment vertical="center"/>
    </xf>
    <xf numFmtId="169" fontId="1" fillId="3" borderId="6" xfId="4" applyNumberFormat="1" applyFont="1" applyFill="1" applyBorder="1" applyAlignment="1">
      <alignment vertical="center"/>
    </xf>
    <xf numFmtId="0" fontId="32" fillId="5" borderId="46" xfId="0" applyFont="1" applyFill="1" applyBorder="1" applyAlignment="1">
      <alignment vertical="center"/>
    </xf>
    <xf numFmtId="0" fontId="33" fillId="6" borderId="20" xfId="0" applyFont="1" applyFill="1" applyBorder="1" applyAlignment="1">
      <alignment vertical="center"/>
    </xf>
    <xf numFmtId="169" fontId="4" fillId="6" borderId="1" xfId="0" applyNumberFormat="1" applyFont="1" applyFill="1" applyBorder="1" applyAlignment="1">
      <alignment vertical="center"/>
    </xf>
    <xf numFmtId="169" fontId="4" fillId="6" borderId="2" xfId="0" applyNumberFormat="1" applyFont="1" applyFill="1" applyBorder="1" applyAlignment="1">
      <alignment vertical="center"/>
    </xf>
    <xf numFmtId="0" fontId="0" fillId="3" borderId="9" xfId="0" applyFill="1" applyBorder="1" applyAlignment="1">
      <alignment horizontal="center" vertical="center"/>
    </xf>
    <xf numFmtId="169" fontId="4" fillId="3" borderId="35" xfId="4" applyNumberFormat="1" applyFont="1" applyFill="1" applyBorder="1" applyAlignment="1">
      <alignment vertical="center"/>
    </xf>
    <xf numFmtId="0" fontId="4" fillId="3" borderId="3" xfId="0" applyFont="1" applyFill="1" applyBorder="1" applyAlignment="1">
      <alignment horizontal="center" vertical="center"/>
    </xf>
    <xf numFmtId="169" fontId="4" fillId="3" borderId="34" xfId="0" applyNumberFormat="1" applyFont="1" applyFill="1" applyBorder="1" applyAlignment="1">
      <alignment vertical="center"/>
    </xf>
    <xf numFmtId="0" fontId="4" fillId="6" borderId="3" xfId="0" applyFont="1" applyFill="1" applyBorder="1" applyAlignment="1">
      <alignment horizontal="center" vertical="center"/>
    </xf>
    <xf numFmtId="0" fontId="4" fillId="3" borderId="1" xfId="0" applyFont="1" applyFill="1" applyBorder="1" applyAlignment="1">
      <alignment vertical="top" wrapText="1"/>
    </xf>
    <xf numFmtId="0" fontId="4" fillId="3" borderId="3" xfId="0" applyFont="1" applyFill="1" applyBorder="1" applyAlignment="1">
      <alignment vertical="top" wrapText="1"/>
    </xf>
    <xf numFmtId="15" fontId="0" fillId="3" borderId="6" xfId="0" applyNumberFormat="1" applyFill="1" applyBorder="1" applyAlignment="1">
      <alignment horizontal="left" vertical="center"/>
    </xf>
    <xf numFmtId="170" fontId="20" fillId="3" borderId="9" xfId="0" applyNumberFormat="1" applyFont="1" applyFill="1" applyBorder="1" applyAlignment="1">
      <alignment horizontal="center" vertical="center" wrapText="1"/>
    </xf>
    <xf numFmtId="0" fontId="20" fillId="5" borderId="6" xfId="0" applyFont="1" applyFill="1" applyBorder="1" applyAlignment="1">
      <alignment horizontal="center" vertical="center"/>
    </xf>
    <xf numFmtId="169" fontId="4" fillId="3" borderId="14" xfId="0" applyNumberFormat="1" applyFont="1" applyFill="1" applyBorder="1" applyAlignment="1">
      <alignment vertical="center"/>
    </xf>
    <xf numFmtId="0" fontId="30" fillId="3" borderId="0" xfId="0" applyFont="1" applyFill="1"/>
    <xf numFmtId="0" fontId="21" fillId="5" borderId="44" xfId="0" applyFont="1" applyFill="1" applyBorder="1"/>
    <xf numFmtId="169" fontId="4" fillId="3" borderId="35" xfId="4" applyNumberFormat="1" applyFont="1" applyFill="1" applyBorder="1"/>
    <xf numFmtId="0" fontId="32" fillId="5" borderId="44" xfId="0" applyFont="1" applyFill="1" applyBorder="1"/>
    <xf numFmtId="0" fontId="34" fillId="3" borderId="6" xfId="0" applyFont="1" applyFill="1" applyBorder="1"/>
    <xf numFmtId="169" fontId="35" fillId="3" borderId="35" xfId="4" applyNumberFormat="1" applyFont="1" applyFill="1" applyBorder="1"/>
    <xf numFmtId="0" fontId="22" fillId="5" borderId="5" xfId="0" applyFont="1" applyFill="1" applyBorder="1" applyAlignment="1">
      <alignment vertical="center"/>
    </xf>
    <xf numFmtId="169" fontId="4" fillId="3" borderId="0" xfId="0" applyNumberFormat="1" applyFont="1" applyFill="1" applyAlignment="1">
      <alignment vertical="center"/>
    </xf>
    <xf numFmtId="0" fontId="22" fillId="3" borderId="5" xfId="0" applyFont="1" applyFill="1" applyBorder="1" applyAlignment="1">
      <alignment vertical="center"/>
    </xf>
    <xf numFmtId="9" fontId="31" fillId="3" borderId="44" xfId="0" applyNumberFormat="1" applyFont="1" applyFill="1" applyBorder="1"/>
    <xf numFmtId="10" fontId="31" fillId="3" borderId="44" xfId="0" applyNumberFormat="1" applyFont="1" applyFill="1" applyBorder="1"/>
    <xf numFmtId="0" fontId="4" fillId="3" borderId="34" xfId="0" applyFont="1" applyFill="1" applyBorder="1" applyAlignment="1">
      <alignment wrapText="1"/>
    </xf>
    <xf numFmtId="0" fontId="5" fillId="3" borderId="11" xfId="0" applyFont="1" applyFill="1" applyBorder="1" applyAlignment="1">
      <alignment horizontal="right"/>
    </xf>
    <xf numFmtId="0" fontId="37" fillId="3" borderId="11" xfId="5" applyFont="1" applyFill="1" applyBorder="1"/>
    <xf numFmtId="0" fontId="22" fillId="3" borderId="5" xfId="0" applyFont="1" applyFill="1" applyBorder="1" applyAlignment="1">
      <alignment wrapText="1"/>
    </xf>
    <xf numFmtId="168" fontId="1" fillId="5" borderId="35" xfId="4" applyNumberFormat="1" applyFont="1" applyFill="1" applyBorder="1" applyAlignment="1">
      <alignment vertical="center"/>
    </xf>
    <xf numFmtId="0" fontId="0" fillId="3" borderId="25" xfId="0" applyFill="1" applyBorder="1" applyAlignment="1">
      <alignment wrapText="1"/>
    </xf>
    <xf numFmtId="0" fontId="6" fillId="3" borderId="11" xfId="0" applyFont="1" applyFill="1" applyBorder="1"/>
    <xf numFmtId="0" fontId="6" fillId="3" borderId="25" xfId="0" applyFont="1" applyFill="1" applyBorder="1"/>
    <xf numFmtId="0" fontId="6" fillId="3" borderId="6" xfId="0" applyFont="1" applyFill="1" applyBorder="1"/>
    <xf numFmtId="0" fontId="9" fillId="3" borderId="0" xfId="0" applyFont="1" applyFill="1"/>
    <xf numFmtId="168" fontId="6" fillId="3" borderId="0" xfId="0" applyNumberFormat="1" applyFont="1" applyFill="1"/>
    <xf numFmtId="0" fontId="6" fillId="3" borderId="8" xfId="0" applyFont="1" applyFill="1" applyBorder="1" applyAlignment="1">
      <alignment horizontal="left" vertical="center"/>
    </xf>
    <xf numFmtId="0" fontId="4" fillId="3" borderId="3" xfId="0" applyFont="1" applyFill="1" applyBorder="1" applyAlignment="1">
      <alignment horizontal="left" wrapText="1"/>
    </xf>
    <xf numFmtId="0" fontId="6" fillId="3" borderId="29" xfId="0" applyFont="1" applyFill="1" applyBorder="1"/>
    <xf numFmtId="0" fontId="41" fillId="3" borderId="6" xfId="0" applyFont="1" applyFill="1" applyBorder="1" applyAlignment="1">
      <alignment horizontal="right"/>
    </xf>
    <xf numFmtId="0" fontId="6" fillId="3" borderId="8" xfId="0" applyFont="1" applyFill="1" applyBorder="1" applyAlignment="1">
      <alignment vertical="center" wrapText="1"/>
    </xf>
    <xf numFmtId="169" fontId="6" fillId="3" borderId="8" xfId="4" applyNumberFormat="1" applyFont="1" applyFill="1" applyBorder="1" applyAlignment="1">
      <alignment vertical="center"/>
    </xf>
    <xf numFmtId="169" fontId="6" fillId="3" borderId="29" xfId="4" applyNumberFormat="1" applyFont="1" applyFill="1" applyBorder="1" applyAlignment="1">
      <alignment vertical="center"/>
    </xf>
    <xf numFmtId="169" fontId="6" fillId="3" borderId="24" xfId="4" applyNumberFormat="1" applyFont="1" applyFill="1" applyBorder="1" applyAlignment="1">
      <alignment vertical="center"/>
    </xf>
    <xf numFmtId="0" fontId="41" fillId="3" borderId="9" xfId="0" applyFont="1" applyFill="1" applyBorder="1" applyAlignment="1">
      <alignment horizontal="right" vertical="center"/>
    </xf>
    <xf numFmtId="0" fontId="7" fillId="6" borderId="1" xfId="0" applyFont="1" applyFill="1" applyBorder="1" applyAlignment="1">
      <alignment vertical="center"/>
    </xf>
    <xf numFmtId="169" fontId="7" fillId="6" borderId="1" xfId="4" applyNumberFormat="1" applyFont="1" applyFill="1" applyBorder="1" applyAlignment="1">
      <alignment vertical="center"/>
    </xf>
    <xf numFmtId="169" fontId="7" fillId="6" borderId="4" xfId="4" applyNumberFormat="1" applyFont="1" applyFill="1" applyBorder="1" applyAlignment="1">
      <alignment vertical="center"/>
    </xf>
    <xf numFmtId="169" fontId="7" fillId="6" borderId="2" xfId="4" applyNumberFormat="1" applyFont="1" applyFill="1" applyBorder="1" applyAlignment="1">
      <alignment vertical="center"/>
    </xf>
    <xf numFmtId="0" fontId="41" fillId="3" borderId="6" xfId="0" applyFont="1" applyFill="1" applyBorder="1" applyAlignment="1">
      <alignment horizontal="right" vertical="center"/>
    </xf>
    <xf numFmtId="0" fontId="6" fillId="3" borderId="10" xfId="0" applyFont="1" applyFill="1" applyBorder="1" applyAlignment="1">
      <alignment horizontal="center" vertical="center"/>
    </xf>
    <xf numFmtId="169" fontId="6" fillId="3" borderId="0" xfId="4" applyNumberFormat="1" applyFont="1" applyFill="1" applyBorder="1" applyAlignment="1">
      <alignment vertical="center"/>
    </xf>
    <xf numFmtId="169" fontId="6" fillId="3" borderId="25" xfId="4" applyNumberFormat="1" applyFont="1" applyFill="1" applyBorder="1" applyAlignment="1">
      <alignment vertical="center"/>
    </xf>
    <xf numFmtId="0" fontId="7" fillId="3" borderId="4" xfId="0" applyFont="1" applyFill="1" applyBorder="1"/>
    <xf numFmtId="0" fontId="6" fillId="3" borderId="10" xfId="0" applyFont="1" applyFill="1" applyBorder="1" applyAlignment="1">
      <alignment vertical="center" wrapText="1"/>
    </xf>
    <xf numFmtId="0" fontId="6" fillId="3" borderId="29" xfId="0" applyFont="1" applyFill="1" applyBorder="1" applyAlignment="1">
      <alignment horizontal="center" vertical="center"/>
    </xf>
    <xf numFmtId="0" fontId="6" fillId="6" borderId="4" xfId="0" applyFont="1" applyFill="1" applyBorder="1"/>
    <xf numFmtId="0" fontId="45" fillId="3" borderId="0" xfId="0" applyFont="1" applyFill="1"/>
    <xf numFmtId="0" fontId="21" fillId="5" borderId="47" xfId="0" applyFont="1" applyFill="1" applyBorder="1" applyAlignment="1">
      <alignment vertical="center"/>
    </xf>
    <xf numFmtId="0" fontId="6" fillId="3" borderId="10" xfId="0" applyFont="1" applyFill="1" applyBorder="1"/>
    <xf numFmtId="0" fontId="6" fillId="3" borderId="6" xfId="0" applyFont="1" applyFill="1" applyBorder="1" applyAlignment="1">
      <alignment horizontal="center" vertical="center"/>
    </xf>
    <xf numFmtId="0" fontId="0" fillId="0" borderId="11" xfId="0" applyBorder="1"/>
    <xf numFmtId="0" fontId="68" fillId="0" borderId="8" xfId="0" applyFont="1" applyBorder="1" applyAlignment="1">
      <alignment horizontal="left" vertical="center" wrapText="1"/>
    </xf>
    <xf numFmtId="0" fontId="12" fillId="3" borderId="0" xfId="5" applyFont="1" applyFill="1" applyBorder="1" applyAlignment="1">
      <alignment horizontal="center" vertical="center" wrapText="1"/>
    </xf>
    <xf numFmtId="0" fontId="0" fillId="3" borderId="0" xfId="0" applyFill="1" applyAlignment="1">
      <alignment horizontal="center"/>
    </xf>
    <xf numFmtId="0" fontId="4" fillId="0" borderId="3" xfId="0" applyFont="1" applyBorder="1" applyAlignment="1">
      <alignment vertical="center"/>
    </xf>
    <xf numFmtId="170" fontId="0" fillId="0" borderId="3" xfId="2" applyNumberFormat="1" applyFont="1" applyFill="1" applyBorder="1" applyAlignment="1"/>
    <xf numFmtId="169" fontId="4" fillId="6" borderId="12" xfId="0" applyNumberFormat="1" applyFont="1" applyFill="1" applyBorder="1" applyAlignment="1">
      <alignment vertical="center"/>
    </xf>
    <xf numFmtId="9" fontId="0" fillId="0" borderId="3" xfId="2" applyFont="1" applyFill="1" applyBorder="1"/>
    <xf numFmtId="177" fontId="5" fillId="3" borderId="3" xfId="1" applyNumberFormat="1" applyFont="1" applyFill="1" applyBorder="1"/>
    <xf numFmtId="177" fontId="0" fillId="3" borderId="9" xfId="1" applyNumberFormat="1" applyFont="1" applyFill="1" applyBorder="1" applyAlignment="1">
      <alignment horizontal="center" vertical="center"/>
    </xf>
    <xf numFmtId="177" fontId="4" fillId="3" borderId="3" xfId="1" applyNumberFormat="1" applyFont="1" applyFill="1" applyBorder="1" applyAlignment="1">
      <alignment horizontal="center" vertical="center"/>
    </xf>
    <xf numFmtId="177" fontId="4" fillId="6" borderId="3" xfId="1" applyNumberFormat="1" applyFont="1" applyFill="1" applyBorder="1" applyAlignment="1">
      <alignment horizontal="center" vertical="center"/>
    </xf>
    <xf numFmtId="1" fontId="0" fillId="0" borderId="3" xfId="2" applyNumberFormat="1" applyFont="1" applyBorder="1"/>
    <xf numFmtId="166" fontId="0" fillId="0" borderId="3" xfId="2" applyNumberFormat="1" applyFont="1" applyFill="1" applyBorder="1" applyAlignment="1"/>
    <xf numFmtId="0" fontId="73" fillId="0" borderId="0" xfId="5" applyFont="1"/>
    <xf numFmtId="0" fontId="65" fillId="3" borderId="0" xfId="0" applyFont="1" applyFill="1"/>
    <xf numFmtId="0" fontId="48" fillId="3" borderId="0" xfId="0" applyFont="1" applyFill="1"/>
    <xf numFmtId="0" fontId="74" fillId="3" borderId="0" xfId="0" applyFont="1" applyFill="1"/>
    <xf numFmtId="0" fontId="0" fillId="22" borderId="11" xfId="0" applyFill="1" applyBorder="1"/>
    <xf numFmtId="0" fontId="0" fillId="22" borderId="30" xfId="0" applyFill="1" applyBorder="1"/>
    <xf numFmtId="0" fontId="65" fillId="22" borderId="10" xfId="0" applyFont="1" applyFill="1" applyBorder="1"/>
    <xf numFmtId="0" fontId="33" fillId="5" borderId="5" xfId="0" applyFont="1" applyFill="1" applyBorder="1" applyAlignment="1">
      <alignment vertical="center"/>
    </xf>
    <xf numFmtId="0" fontId="34" fillId="3" borderId="8" xfId="0" applyFont="1" applyFill="1" applyBorder="1"/>
    <xf numFmtId="0" fontId="75" fillId="23" borderId="0" xfId="5" applyFont="1" applyFill="1" applyBorder="1" applyAlignment="1">
      <alignment horizontal="left" vertical="center"/>
    </xf>
    <xf numFmtId="0" fontId="76" fillId="23" borderId="0" xfId="5" applyFont="1" applyFill="1" applyBorder="1" applyAlignment="1">
      <alignment horizontal="left" vertical="center"/>
    </xf>
    <xf numFmtId="0" fontId="69" fillId="23" borderId="0" xfId="5" applyFont="1" applyFill="1" applyBorder="1" applyAlignment="1">
      <alignment horizontal="left" vertical="center"/>
    </xf>
    <xf numFmtId="0" fontId="69" fillId="23" borderId="0" xfId="5" applyFont="1" applyFill="1" applyBorder="1" applyAlignment="1">
      <alignment horizontal="right" vertical="center"/>
    </xf>
    <xf numFmtId="0" fontId="76" fillId="23" borderId="0" xfId="5" applyFont="1" applyFill="1" applyBorder="1" applyAlignment="1">
      <alignment horizontal="left" vertical="top"/>
    </xf>
    <xf numFmtId="0" fontId="75" fillId="22" borderId="6" xfId="5" applyFont="1" applyFill="1" applyBorder="1" applyAlignment="1">
      <alignment vertical="center"/>
    </xf>
    <xf numFmtId="0" fontId="48" fillId="22" borderId="0" xfId="0" applyFont="1" applyFill="1" applyAlignment="1">
      <alignment vertical="center"/>
    </xf>
    <xf numFmtId="0" fontId="78" fillId="22" borderId="0" xfId="0" applyFont="1" applyFill="1" applyAlignment="1">
      <alignment horizontal="right" vertical="center"/>
    </xf>
    <xf numFmtId="0" fontId="78" fillId="22" borderId="0" xfId="0" applyFont="1" applyFill="1" applyAlignment="1">
      <alignment vertical="center"/>
    </xf>
    <xf numFmtId="0" fontId="75" fillId="22" borderId="0" xfId="5" applyFont="1" applyFill="1" applyBorder="1" applyAlignment="1">
      <alignment vertical="center"/>
    </xf>
    <xf numFmtId="0" fontId="79" fillId="23" borderId="11" xfId="5" applyFont="1" applyFill="1" applyBorder="1" applyAlignment="1">
      <alignment horizontal="left" vertical="center"/>
    </xf>
    <xf numFmtId="0" fontId="75" fillId="24" borderId="10" xfId="5" applyFont="1" applyFill="1" applyBorder="1" applyAlignment="1">
      <alignment horizontal="left" vertical="center"/>
    </xf>
    <xf numFmtId="0" fontId="75" fillId="24" borderId="11" xfId="5" applyFont="1" applyFill="1" applyBorder="1" applyAlignment="1">
      <alignment horizontal="left" vertical="center"/>
    </xf>
    <xf numFmtId="0" fontId="76" fillId="24" borderId="11" xfId="5" applyFont="1" applyFill="1" applyBorder="1" applyAlignment="1">
      <alignment horizontal="left" vertical="center"/>
    </xf>
    <xf numFmtId="0" fontId="77" fillId="24" borderId="11" xfId="5" applyFont="1" applyFill="1" applyBorder="1" applyAlignment="1">
      <alignment horizontal="right" vertical="center"/>
    </xf>
    <xf numFmtId="0" fontId="79" fillId="23" borderId="8" xfId="5" applyFont="1" applyFill="1" applyBorder="1" applyAlignment="1">
      <alignment horizontal="left" vertical="center"/>
    </xf>
    <xf numFmtId="0" fontId="79" fillId="23" borderId="29" xfId="5" applyFont="1" applyFill="1" applyBorder="1" applyAlignment="1">
      <alignment horizontal="left" vertical="center"/>
    </xf>
    <xf numFmtId="0" fontId="79" fillId="23" borderId="24" xfId="5" applyFont="1" applyFill="1" applyBorder="1" applyAlignment="1">
      <alignment horizontal="left" vertical="center"/>
    </xf>
    <xf numFmtId="0" fontId="79" fillId="23" borderId="10" xfId="5" applyFont="1" applyFill="1" applyBorder="1" applyAlignment="1">
      <alignment horizontal="left" vertical="center"/>
    </xf>
    <xf numFmtId="0" fontId="79" fillId="23" borderId="0" xfId="5" applyFont="1" applyFill="1" applyBorder="1" applyAlignment="1">
      <alignment horizontal="left" vertical="center"/>
    </xf>
    <xf numFmtId="0" fontId="80" fillId="24" borderId="0" xfId="0" applyFont="1" applyFill="1"/>
    <xf numFmtId="0" fontId="81" fillId="24" borderId="29" xfId="0" applyFont="1" applyFill="1" applyBorder="1"/>
    <xf numFmtId="0" fontId="82" fillId="24" borderId="29" xfId="0" applyFont="1" applyFill="1" applyBorder="1"/>
    <xf numFmtId="0" fontId="82" fillId="24" borderId="24" xfId="0" applyFont="1" applyFill="1" applyBorder="1"/>
    <xf numFmtId="0" fontId="82" fillId="24" borderId="6" xfId="0" applyFont="1" applyFill="1" applyBorder="1"/>
    <xf numFmtId="0" fontId="82" fillId="24" borderId="0" xfId="0" applyFont="1" applyFill="1"/>
    <xf numFmtId="0" fontId="82" fillId="24" borderId="25" xfId="0" applyFont="1" applyFill="1" applyBorder="1"/>
    <xf numFmtId="0" fontId="21" fillId="3" borderId="4" xfId="0" applyFont="1" applyFill="1" applyBorder="1"/>
    <xf numFmtId="0" fontId="4" fillId="3" borderId="2" xfId="0" applyFont="1" applyFill="1" applyBorder="1" applyAlignment="1">
      <alignment horizontal="right" wrapText="1"/>
    </xf>
    <xf numFmtId="0" fontId="0" fillId="11" borderId="6" xfId="0" applyFill="1" applyBorder="1"/>
    <xf numFmtId="0" fontId="32" fillId="25" borderId="44" xfId="0" applyFont="1" applyFill="1" applyBorder="1"/>
    <xf numFmtId="169" fontId="4" fillId="11" borderId="35" xfId="4" applyNumberFormat="1" applyFont="1" applyFill="1" applyBorder="1"/>
    <xf numFmtId="0" fontId="21" fillId="25" borderId="44" xfId="0" applyFont="1" applyFill="1" applyBorder="1"/>
    <xf numFmtId="0" fontId="0" fillId="11" borderId="25" xfId="0" applyFill="1" applyBorder="1"/>
    <xf numFmtId="169" fontId="20" fillId="11" borderId="25" xfId="4" applyNumberFormat="1" applyFont="1" applyFill="1" applyBorder="1"/>
    <xf numFmtId="169" fontId="20" fillId="3" borderId="25" xfId="4" applyNumberFormat="1" applyFont="1" applyFill="1" applyBorder="1"/>
    <xf numFmtId="169" fontId="1" fillId="11" borderId="25" xfId="4" applyNumberFormat="1" applyFont="1" applyFill="1" applyBorder="1"/>
    <xf numFmtId="169" fontId="4" fillId="3" borderId="25" xfId="0" applyNumberFormat="1" applyFont="1" applyFill="1" applyBorder="1" applyAlignment="1">
      <alignment vertical="center"/>
    </xf>
    <xf numFmtId="169" fontId="1" fillId="25" borderId="25" xfId="4" applyNumberFormat="1" applyFont="1" applyFill="1" applyBorder="1"/>
    <xf numFmtId="169" fontId="1" fillId="3" borderId="25" xfId="4" applyNumberFormat="1" applyFont="1" applyFill="1" applyBorder="1"/>
    <xf numFmtId="0" fontId="4" fillId="3" borderId="2" xfId="0" applyFont="1" applyFill="1" applyBorder="1" applyAlignment="1">
      <alignment horizontal="left" wrapText="1"/>
    </xf>
    <xf numFmtId="169" fontId="29" fillId="3" borderId="2" xfId="0" applyNumberFormat="1" applyFont="1" applyFill="1" applyBorder="1" applyAlignment="1">
      <alignment vertical="center"/>
    </xf>
    <xf numFmtId="169" fontId="4" fillId="3" borderId="2" xfId="0" applyNumberFormat="1" applyFont="1" applyFill="1" applyBorder="1" applyAlignment="1">
      <alignment vertical="center"/>
    </xf>
    <xf numFmtId="10" fontId="31" fillId="11" borderId="44" xfId="0" applyNumberFormat="1" applyFont="1" applyFill="1" applyBorder="1"/>
    <xf numFmtId="0" fontId="0" fillId="3" borderId="3" xfId="0" applyFill="1" applyBorder="1"/>
    <xf numFmtId="0" fontId="21" fillId="3" borderId="3" xfId="0" applyFont="1" applyFill="1" applyBorder="1"/>
    <xf numFmtId="15" fontId="0" fillId="3" borderId="10" xfId="0" applyNumberFormat="1" applyFill="1" applyBorder="1" applyAlignment="1">
      <alignment horizontal="left" vertical="center"/>
    </xf>
    <xf numFmtId="170" fontId="20" fillId="3" borderId="12" xfId="0" applyNumberFormat="1" applyFont="1" applyFill="1" applyBorder="1" applyAlignment="1">
      <alignment horizontal="center" vertical="center" wrapText="1"/>
    </xf>
    <xf numFmtId="0" fontId="16" fillId="11" borderId="4" xfId="0" applyFont="1" applyFill="1" applyBorder="1" applyAlignment="1">
      <alignment vertical="center"/>
    </xf>
    <xf numFmtId="0" fontId="0" fillId="11" borderId="4" xfId="0" applyFill="1" applyBorder="1"/>
    <xf numFmtId="0" fontId="0" fillId="11" borderId="2" xfId="0" applyFill="1" applyBorder="1"/>
    <xf numFmtId="0" fontId="79" fillId="22" borderId="0" xfId="5" applyFont="1" applyFill="1" applyBorder="1" applyAlignment="1">
      <alignment horizontal="left" vertical="center" wrapText="1"/>
    </xf>
    <xf numFmtId="0" fontId="0" fillId="24" borderId="11" xfId="0" applyFill="1" applyBorder="1"/>
    <xf numFmtId="0" fontId="0" fillId="24" borderId="30" xfId="0" applyFill="1" applyBorder="1"/>
    <xf numFmtId="15" fontId="69" fillId="23" borderId="0" xfId="5" applyNumberFormat="1" applyFont="1" applyFill="1" applyBorder="1" applyAlignment="1">
      <alignment horizontal="left" vertical="center"/>
    </xf>
    <xf numFmtId="0" fontId="6" fillId="3" borderId="0" xfId="0" applyFont="1" applyFill="1" applyAlignment="1">
      <alignment horizontal="left" vertical="center"/>
    </xf>
    <xf numFmtId="169" fontId="48" fillId="3" borderId="0" xfId="4" applyNumberFormat="1" applyFont="1" applyFill="1" applyBorder="1" applyAlignment="1">
      <alignment vertical="center"/>
    </xf>
    <xf numFmtId="169" fontId="48" fillId="3" borderId="25" xfId="4" applyNumberFormat="1" applyFont="1" applyFill="1" applyBorder="1" applyAlignment="1">
      <alignment vertical="center"/>
    </xf>
    <xf numFmtId="0" fontId="11" fillId="3" borderId="0" xfId="5" applyFill="1"/>
    <xf numFmtId="171" fontId="0" fillId="3" borderId="0" xfId="0" applyNumberFormat="1" applyFill="1"/>
    <xf numFmtId="0" fontId="4" fillId="3" borderId="25" xfId="0" applyFont="1" applyFill="1" applyBorder="1" applyAlignment="1">
      <alignment horizontal="right" wrapText="1"/>
    </xf>
    <xf numFmtId="169" fontId="4" fillId="3" borderId="25" xfId="4" applyNumberFormat="1" applyFont="1" applyFill="1" applyBorder="1"/>
    <xf numFmtId="169" fontId="35" fillId="3" borderId="25" xfId="4" applyNumberFormat="1" applyFont="1" applyFill="1" applyBorder="1"/>
    <xf numFmtId="169" fontId="31" fillId="3" borderId="25" xfId="4" applyNumberFormat="1" applyFont="1" applyFill="1" applyBorder="1"/>
    <xf numFmtId="169" fontId="20" fillId="3" borderId="25" xfId="0" applyNumberFormat="1" applyFont="1" applyFill="1" applyBorder="1"/>
    <xf numFmtId="0" fontId="6" fillId="3" borderId="30" xfId="0" applyFont="1" applyFill="1" applyBorder="1"/>
    <xf numFmtId="0" fontId="76" fillId="23" borderId="29" xfId="5" applyFont="1" applyFill="1" applyBorder="1" applyAlignment="1">
      <alignment horizontal="left" vertical="center"/>
    </xf>
    <xf numFmtId="0" fontId="76" fillId="23" borderId="24" xfId="5" applyFont="1" applyFill="1" applyBorder="1" applyAlignment="1">
      <alignment horizontal="left" vertical="center"/>
    </xf>
    <xf numFmtId="0" fontId="69" fillId="23" borderId="6" xfId="5" applyFont="1" applyFill="1" applyBorder="1" applyAlignment="1">
      <alignment horizontal="left" vertical="center"/>
    </xf>
    <xf numFmtId="0" fontId="76" fillId="23" borderId="25" xfId="5" applyFont="1" applyFill="1" applyBorder="1" applyAlignment="1">
      <alignment horizontal="left" vertical="center"/>
    </xf>
    <xf numFmtId="0" fontId="75" fillId="3" borderId="0" xfId="5" applyFont="1" applyFill="1" applyBorder="1" applyAlignment="1">
      <alignment wrapText="1"/>
    </xf>
    <xf numFmtId="0" fontId="76" fillId="3" borderId="0" xfId="5" applyFont="1" applyFill="1" applyBorder="1" applyAlignment="1">
      <alignment horizontal="left" vertical="center"/>
    </xf>
    <xf numFmtId="0" fontId="75" fillId="23" borderId="29" xfId="5" applyFont="1" applyFill="1" applyBorder="1" applyAlignment="1">
      <alignment wrapText="1"/>
    </xf>
    <xf numFmtId="0" fontId="75" fillId="23" borderId="24" xfId="5" applyFont="1" applyFill="1" applyBorder="1" applyAlignment="1">
      <alignment wrapText="1"/>
    </xf>
    <xf numFmtId="0" fontId="69" fillId="23" borderId="10" xfId="5" applyFont="1" applyFill="1" applyBorder="1" applyAlignment="1">
      <alignment horizontal="left" vertical="center"/>
    </xf>
    <xf numFmtId="0" fontId="69" fillId="23" borderId="11" xfId="5" applyFont="1" applyFill="1" applyBorder="1" applyAlignment="1">
      <alignment horizontal="left" vertical="center"/>
    </xf>
    <xf numFmtId="0" fontId="69" fillId="23" borderId="11" xfId="5" applyFont="1" applyFill="1" applyBorder="1" applyAlignment="1">
      <alignment horizontal="right" vertical="center"/>
    </xf>
    <xf numFmtId="0" fontId="69" fillId="23" borderId="30" xfId="5" applyFont="1" applyFill="1" applyBorder="1" applyAlignment="1">
      <alignment horizontal="left" vertical="center"/>
    </xf>
    <xf numFmtId="0" fontId="30" fillId="3" borderId="25" xfId="0" applyFont="1" applyFill="1" applyBorder="1"/>
    <xf numFmtId="0" fontId="10" fillId="3" borderId="25" xfId="0" applyFont="1" applyFill="1" applyBorder="1"/>
    <xf numFmtId="0" fontId="46" fillId="3" borderId="25" xfId="0" applyFont="1" applyFill="1" applyBorder="1"/>
    <xf numFmtId="0" fontId="46" fillId="3" borderId="10" xfId="0" applyFont="1" applyFill="1" applyBorder="1"/>
    <xf numFmtId="0" fontId="46" fillId="3" borderId="11" xfId="0" applyFont="1" applyFill="1" applyBorder="1"/>
    <xf numFmtId="0" fontId="46" fillId="3" borderId="30" xfId="0" applyFont="1" applyFill="1" applyBorder="1"/>
    <xf numFmtId="0" fontId="69" fillId="23" borderId="11" xfId="5" applyFont="1" applyFill="1" applyBorder="1" applyAlignment="1">
      <alignment horizontal="left"/>
    </xf>
    <xf numFmtId="0" fontId="7" fillId="3" borderId="11" xfId="0" applyFont="1" applyFill="1" applyBorder="1" applyAlignment="1">
      <alignment vertical="center"/>
    </xf>
    <xf numFmtId="169" fontId="7" fillId="3" borderId="11" xfId="0" applyNumberFormat="1" applyFont="1" applyFill="1" applyBorder="1" applyAlignment="1">
      <alignment vertical="center"/>
    </xf>
    <xf numFmtId="0" fontId="0" fillId="3" borderId="11" xfId="0" applyFill="1" applyBorder="1" applyAlignment="1">
      <alignment wrapText="1"/>
    </xf>
    <xf numFmtId="0" fontId="89" fillId="11" borderId="6" xfId="0" applyFont="1" applyFill="1" applyBorder="1" applyAlignment="1">
      <alignment vertical="center"/>
    </xf>
    <xf numFmtId="0" fontId="37" fillId="3" borderId="0" xfId="5" applyFont="1" applyFill="1" applyBorder="1" applyAlignment="1">
      <alignment vertical="center"/>
    </xf>
    <xf numFmtId="0" fontId="90" fillId="3" borderId="25" xfId="0" applyFont="1" applyFill="1" applyBorder="1"/>
    <xf numFmtId="0" fontId="90" fillId="3" borderId="6" xfId="0" applyFont="1" applyFill="1" applyBorder="1"/>
    <xf numFmtId="0" fontId="91" fillId="11" borderId="4" xfId="0" applyFont="1" applyFill="1" applyBorder="1" applyAlignment="1">
      <alignment vertical="center"/>
    </xf>
    <xf numFmtId="0" fontId="32" fillId="3" borderId="6" xfId="0" applyFont="1" applyFill="1" applyBorder="1" applyAlignment="1">
      <alignment horizontal="right"/>
    </xf>
    <xf numFmtId="0" fontId="90" fillId="3" borderId="11" xfId="0" applyFont="1" applyFill="1" applyBorder="1"/>
    <xf numFmtId="0" fontId="90" fillId="3" borderId="30" xfId="0" applyFont="1" applyFill="1" applyBorder="1"/>
    <xf numFmtId="0" fontId="0" fillId="3" borderId="17" xfId="0" applyFill="1" applyBorder="1"/>
    <xf numFmtId="0" fontId="0" fillId="11" borderId="9" xfId="0" applyFill="1" applyBorder="1"/>
    <xf numFmtId="0" fontId="7" fillId="11" borderId="1" xfId="0" applyFont="1" applyFill="1" applyBorder="1" applyAlignment="1">
      <alignment vertical="center"/>
    </xf>
    <xf numFmtId="0" fontId="0" fillId="11" borderId="6" xfId="0" applyFill="1" applyBorder="1" applyAlignment="1">
      <alignment vertical="center"/>
    </xf>
    <xf numFmtId="0" fontId="0" fillId="11" borderId="9" xfId="0" applyFill="1" applyBorder="1" applyAlignment="1">
      <alignment vertical="center" wrapText="1"/>
    </xf>
    <xf numFmtId="0" fontId="88" fillId="11" borderId="1" xfId="5" applyFont="1" applyFill="1" applyBorder="1" applyAlignment="1"/>
    <xf numFmtId="0" fontId="88" fillId="11" borderId="4" xfId="5" applyFont="1" applyFill="1" applyBorder="1" applyAlignment="1"/>
    <xf numFmtId="0" fontId="88" fillId="11" borderId="0" xfId="5" applyFont="1" applyFill="1" applyBorder="1" applyAlignment="1"/>
    <xf numFmtId="0" fontId="89" fillId="11" borderId="1" xfId="0" applyFont="1" applyFill="1" applyBorder="1" applyAlignment="1">
      <alignment vertical="center"/>
    </xf>
    <xf numFmtId="0" fontId="0" fillId="3" borderId="7" xfId="0" applyFill="1" applyBorder="1" applyAlignment="1">
      <alignment vertical="center" wrapText="1"/>
    </xf>
    <xf numFmtId="0" fontId="0" fillId="3" borderId="7" xfId="0" applyFill="1" applyBorder="1" applyAlignment="1">
      <alignment vertical="center"/>
    </xf>
    <xf numFmtId="169" fontId="1" fillId="25" borderId="6" xfId="4" applyNumberFormat="1" applyFont="1" applyFill="1" applyBorder="1" applyAlignment="1">
      <alignment vertical="center"/>
    </xf>
    <xf numFmtId="169" fontId="48" fillId="25" borderId="0" xfId="4" applyNumberFormat="1" applyFont="1" applyFill="1" applyBorder="1" applyAlignment="1">
      <alignment vertical="center"/>
    </xf>
    <xf numFmtId="169" fontId="48" fillId="25" borderId="25" xfId="4" applyNumberFormat="1" applyFont="1" applyFill="1" applyBorder="1" applyAlignment="1">
      <alignment vertical="center"/>
    </xf>
    <xf numFmtId="0" fontId="21" fillId="25" borderId="46" xfId="0" applyFont="1" applyFill="1" applyBorder="1" applyAlignment="1">
      <alignment vertical="center"/>
    </xf>
    <xf numFmtId="169" fontId="48" fillId="11" borderId="0" xfId="4" applyNumberFormat="1" applyFont="1" applyFill="1" applyBorder="1" applyAlignment="1">
      <alignment vertical="center"/>
    </xf>
    <xf numFmtId="169" fontId="48" fillId="11" borderId="25" xfId="4" applyNumberFormat="1" applyFont="1" applyFill="1" applyBorder="1" applyAlignment="1">
      <alignment vertical="center"/>
    </xf>
    <xf numFmtId="0" fontId="0" fillId="0" borderId="12" xfId="0" applyBorder="1" applyAlignment="1">
      <alignment wrapText="1"/>
    </xf>
    <xf numFmtId="0" fontId="4" fillId="3" borderId="8" xfId="0" applyFont="1" applyFill="1" applyBorder="1"/>
    <xf numFmtId="0" fontId="4" fillId="3" borderId="7" xfId="0" applyFont="1" applyFill="1" applyBorder="1" applyAlignment="1">
      <alignment horizontal="center"/>
    </xf>
    <xf numFmtId="0" fontId="5" fillId="3" borderId="8" xfId="0" applyFont="1" applyFill="1" applyBorder="1" applyAlignment="1">
      <alignment horizontal="center" vertical="center"/>
    </xf>
    <xf numFmtId="10" fontId="20" fillId="3" borderId="29" xfId="0" applyNumberFormat="1" applyFont="1" applyFill="1" applyBorder="1"/>
    <xf numFmtId="10" fontId="20" fillId="0" borderId="24" xfId="0" applyNumberFormat="1" applyFont="1" applyBorder="1"/>
    <xf numFmtId="0" fontId="5" fillId="3" borderId="8" xfId="0" applyFont="1" applyFill="1" applyBorder="1" applyAlignment="1">
      <alignment horizontal="center" vertical="center" wrapText="1"/>
    </xf>
    <xf numFmtId="169" fontId="92" fillId="3" borderId="8" xfId="4" applyNumberFormat="1" applyFont="1" applyFill="1" applyBorder="1" applyAlignment="1">
      <alignment vertical="center"/>
    </xf>
    <xf numFmtId="169" fontId="92" fillId="3" borderId="29" xfId="4" applyNumberFormat="1" applyFont="1" applyFill="1" applyBorder="1" applyAlignment="1">
      <alignment vertical="center"/>
    </xf>
    <xf numFmtId="169" fontId="92" fillId="3" borderId="24" xfId="4" applyNumberFormat="1" applyFont="1" applyFill="1" applyBorder="1" applyAlignment="1">
      <alignment vertical="center"/>
    </xf>
    <xf numFmtId="0" fontId="4" fillId="6" borderId="3" xfId="0" applyFont="1" applyFill="1" applyBorder="1" applyAlignment="1">
      <alignment vertical="center" wrapText="1"/>
    </xf>
    <xf numFmtId="0" fontId="88" fillId="11" borderId="2" xfId="5" applyFont="1" applyFill="1" applyBorder="1" applyAlignment="1"/>
    <xf numFmtId="15" fontId="0" fillId="11" borderId="6" xfId="0" applyNumberFormat="1" applyFill="1" applyBorder="1" applyAlignment="1">
      <alignment horizontal="left" vertical="center"/>
    </xf>
    <xf numFmtId="170" fontId="20" fillId="11" borderId="9" xfId="0" applyNumberFormat="1" applyFont="1" applyFill="1" applyBorder="1" applyAlignment="1">
      <alignment horizontal="center" vertical="center" wrapText="1"/>
    </xf>
    <xf numFmtId="0" fontId="20" fillId="25" borderId="6" xfId="0" applyFont="1" applyFill="1" applyBorder="1" applyAlignment="1">
      <alignment horizontal="center" vertical="center"/>
    </xf>
    <xf numFmtId="0" fontId="0" fillId="11" borderId="10" xfId="0" applyFill="1" applyBorder="1"/>
    <xf numFmtId="0" fontId="5" fillId="11" borderId="12" xfId="0" applyFont="1" applyFill="1" applyBorder="1" applyAlignment="1">
      <alignment horizontal="center"/>
    </xf>
    <xf numFmtId="173" fontId="0" fillId="11" borderId="10" xfId="0" applyNumberFormat="1" applyFill="1" applyBorder="1"/>
    <xf numFmtId="173" fontId="0" fillId="11" borderId="11" xfId="0" applyNumberFormat="1" applyFill="1" applyBorder="1"/>
    <xf numFmtId="173" fontId="0" fillId="11" borderId="30" xfId="0" applyNumberFormat="1" applyFill="1" applyBorder="1"/>
    <xf numFmtId="0" fontId="5" fillId="11" borderId="9" xfId="0" applyFont="1" applyFill="1" applyBorder="1" applyAlignment="1">
      <alignment horizontal="center" vertical="center"/>
    </xf>
    <xf numFmtId="169" fontId="1" fillId="11" borderId="0" xfId="4" applyNumberFormat="1" applyFont="1" applyFill="1" applyBorder="1" applyAlignment="1">
      <alignment vertical="center"/>
    </xf>
    <xf numFmtId="0" fontId="88" fillId="11" borderId="1" xfId="5" applyFont="1" applyFill="1" applyBorder="1"/>
    <xf numFmtId="0" fontId="0" fillId="11" borderId="9" xfId="0" applyFill="1" applyBorder="1" applyAlignment="1">
      <alignment horizontal="center" vertical="center"/>
    </xf>
    <xf numFmtId="177" fontId="0" fillId="11" borderId="9" xfId="1" applyNumberFormat="1" applyFont="1" applyFill="1" applyBorder="1" applyAlignment="1">
      <alignment horizontal="center" vertical="center"/>
    </xf>
    <xf numFmtId="166" fontId="31" fillId="11" borderId="44" xfId="0" applyNumberFormat="1" applyFont="1" applyFill="1" applyBorder="1"/>
    <xf numFmtId="0" fontId="11" fillId="0" borderId="0" xfId="5" applyAlignment="1">
      <alignment vertical="top"/>
    </xf>
    <xf numFmtId="166" fontId="0" fillId="26" borderId="3" xfId="2" applyNumberFormat="1" applyFont="1" applyFill="1" applyBorder="1"/>
    <xf numFmtId="9" fontId="0" fillId="26" borderId="3" xfId="2" applyFont="1" applyFill="1" applyBorder="1"/>
    <xf numFmtId="170" fontId="0" fillId="26" borderId="3" xfId="2" applyNumberFormat="1" applyFont="1" applyFill="1" applyBorder="1"/>
    <xf numFmtId="1" fontId="0" fillId="26" borderId="3" xfId="2" applyNumberFormat="1" applyFont="1" applyFill="1" applyBorder="1"/>
    <xf numFmtId="170" fontId="0" fillId="0" borderId="3" xfId="2" applyNumberFormat="1" applyFont="1" applyFill="1" applyBorder="1" applyAlignment="1">
      <alignment horizontal="left"/>
    </xf>
    <xf numFmtId="9" fontId="0" fillId="0" borderId="3" xfId="2" applyFont="1" applyFill="1" applyBorder="1" applyAlignment="1">
      <alignment horizontal="left"/>
    </xf>
    <xf numFmtId="1" fontId="0" fillId="0" borderId="3" xfId="2" applyNumberFormat="1" applyFont="1" applyFill="1" applyBorder="1" applyAlignment="1">
      <alignment horizontal="left"/>
    </xf>
    <xf numFmtId="1" fontId="0" fillId="26" borderId="3" xfId="2" applyNumberFormat="1" applyFont="1" applyFill="1" applyBorder="1" applyAlignment="1">
      <alignment horizontal="left"/>
    </xf>
    <xf numFmtId="0" fontId="70" fillId="0" borderId="0" xfId="0" applyFont="1"/>
    <xf numFmtId="0" fontId="23" fillId="3" borderId="6" xfId="0" applyFont="1" applyFill="1" applyBorder="1" applyAlignment="1">
      <alignment wrapText="1"/>
    </xf>
    <xf numFmtId="0" fontId="23" fillId="3" borderId="6" xfId="0" applyFont="1" applyFill="1" applyBorder="1"/>
    <xf numFmtId="0" fontId="0" fillId="3" borderId="10" xfId="0" applyFill="1" applyBorder="1" applyAlignment="1">
      <alignment vertical="center"/>
    </xf>
    <xf numFmtId="0" fontId="4" fillId="3" borderId="1" xfId="0" applyFont="1" applyFill="1" applyBorder="1" applyAlignment="1">
      <alignment vertical="center" wrapText="1"/>
    </xf>
    <xf numFmtId="0" fontId="0" fillId="22" borderId="0" xfId="0" applyFill="1"/>
    <xf numFmtId="0" fontId="79" fillId="3" borderId="0" xfId="5" applyFont="1" applyFill="1" applyBorder="1" applyAlignment="1">
      <alignment horizontal="left" vertical="center"/>
    </xf>
    <xf numFmtId="0" fontId="77" fillId="3" borderId="0" xfId="5" applyFont="1" applyFill="1" applyBorder="1" applyAlignment="1">
      <alignment horizontal="right" vertical="center"/>
    </xf>
    <xf numFmtId="15" fontId="77" fillId="3" borderId="0" xfId="5" quotePrefix="1" applyNumberFormat="1" applyFont="1" applyFill="1" applyBorder="1" applyAlignment="1">
      <alignment horizontal="center" vertical="center"/>
    </xf>
    <xf numFmtId="0" fontId="4" fillId="3" borderId="4" xfId="0" applyFont="1" applyFill="1" applyBorder="1" applyAlignment="1">
      <alignment horizontal="center" vertical="center" wrapText="1"/>
    </xf>
    <xf numFmtId="0" fontId="4" fillId="3" borderId="30" xfId="0" applyFont="1" applyFill="1" applyBorder="1" applyAlignment="1">
      <alignment vertical="center"/>
    </xf>
    <xf numFmtId="0" fontId="4" fillId="3" borderId="8" xfId="0" applyFont="1" applyFill="1" applyBorder="1" applyAlignment="1">
      <alignment vertical="center"/>
    </xf>
    <xf numFmtId="0" fontId="4" fillId="3" borderId="24" xfId="0" applyFont="1" applyFill="1" applyBorder="1" applyAlignment="1">
      <alignment vertical="center"/>
    </xf>
    <xf numFmtId="0" fontId="4" fillId="27" borderId="1" xfId="0" applyFont="1" applyFill="1" applyBorder="1" applyAlignment="1">
      <alignment vertical="center"/>
    </xf>
    <xf numFmtId="0" fontId="4" fillId="27" borderId="2" xfId="0" applyFont="1" applyFill="1" applyBorder="1" applyAlignment="1">
      <alignment vertical="center"/>
    </xf>
    <xf numFmtId="0" fontId="4" fillId="3" borderId="25" xfId="0" applyFont="1" applyFill="1" applyBorder="1" applyAlignment="1">
      <alignment vertical="center"/>
    </xf>
    <xf numFmtId="0" fontId="4" fillId="6" borderId="10" xfId="0" applyFont="1" applyFill="1" applyBorder="1" applyAlignment="1">
      <alignment vertical="center"/>
    </xf>
    <xf numFmtId="0" fontId="22" fillId="3" borderId="0" xfId="0" applyFont="1" applyFill="1" applyAlignment="1">
      <alignment vertical="center"/>
    </xf>
    <xf numFmtId="0" fontId="22" fillId="5" borderId="43" xfId="0" applyFont="1" applyFill="1" applyBorder="1" applyAlignment="1">
      <alignment vertical="center"/>
    </xf>
    <xf numFmtId="0" fontId="21" fillId="25" borderId="30" xfId="0" applyFont="1" applyFill="1" applyBorder="1"/>
    <xf numFmtId="169" fontId="4" fillId="6" borderId="30" xfId="0" applyNumberFormat="1" applyFont="1" applyFill="1" applyBorder="1" applyAlignment="1">
      <alignment vertical="center"/>
    </xf>
    <xf numFmtId="0" fontId="22" fillId="6" borderId="12" xfId="0" applyFont="1" applyFill="1" applyBorder="1" applyAlignment="1">
      <alignment vertical="center"/>
    </xf>
    <xf numFmtId="0" fontId="79" fillId="23" borderId="6" xfId="5" applyFont="1" applyFill="1" applyBorder="1" applyAlignment="1">
      <alignment horizontal="left" vertical="center"/>
    </xf>
    <xf numFmtId="0" fontId="23" fillId="3" borderId="8" xfId="0" applyFont="1" applyFill="1" applyBorder="1"/>
    <xf numFmtId="0" fontId="11" fillId="4" borderId="0" xfId="5" applyFill="1" applyBorder="1" applyAlignment="1">
      <alignment horizontal="center"/>
    </xf>
    <xf numFmtId="0" fontId="11" fillId="3" borderId="0" xfId="5" applyFill="1" applyBorder="1" applyAlignment="1">
      <alignment horizontal="center"/>
    </xf>
    <xf numFmtId="0" fontId="11" fillId="4" borderId="11" xfId="5" applyFill="1" applyBorder="1" applyAlignment="1">
      <alignment horizontal="center"/>
    </xf>
    <xf numFmtId="0" fontId="11" fillId="3" borderId="11" xfId="5" applyFill="1" applyBorder="1" applyAlignment="1">
      <alignment horizontal="center"/>
    </xf>
    <xf numFmtId="0" fontId="94" fillId="0" borderId="0" xfId="5" applyFont="1"/>
    <xf numFmtId="0" fontId="94" fillId="0" borderId="6" xfId="5" applyFont="1" applyBorder="1"/>
    <xf numFmtId="0" fontId="70" fillId="0" borderId="6" xfId="0" applyFont="1" applyBorder="1"/>
    <xf numFmtId="0" fontId="70" fillId="0" borderId="25" xfId="0" applyFont="1" applyBorder="1"/>
    <xf numFmtId="0" fontId="95" fillId="3" borderId="0" xfId="0" applyFont="1" applyFill="1"/>
    <xf numFmtId="0" fontId="16" fillId="13" borderId="4" xfId="0" applyFont="1" applyFill="1" applyBorder="1" applyAlignment="1">
      <alignment vertical="center"/>
    </xf>
    <xf numFmtId="0" fontId="6" fillId="3" borderId="1" xfId="0" applyFont="1" applyFill="1" applyBorder="1" applyAlignment="1">
      <alignment horizontal="centerContinuous" vertical="center"/>
    </xf>
    <xf numFmtId="0" fontId="6" fillId="3" borderId="4" xfId="0" applyFont="1" applyFill="1" applyBorder="1" applyAlignment="1">
      <alignment horizontal="centerContinuous" vertical="center"/>
    </xf>
    <xf numFmtId="0" fontId="6" fillId="3" borderId="2" xfId="0" applyFont="1" applyFill="1" applyBorder="1" applyAlignment="1">
      <alignment horizontal="centerContinuous" vertical="center"/>
    </xf>
    <xf numFmtId="169" fontId="1" fillId="11" borderId="35" xfId="4" applyNumberFormat="1" applyFont="1" applyFill="1" applyBorder="1"/>
    <xf numFmtId="169" fontId="1" fillId="3" borderId="35" xfId="4" applyNumberFormat="1" applyFont="1" applyFill="1" applyBorder="1"/>
    <xf numFmtId="0" fontId="0" fillId="11" borderId="6" xfId="0" applyFill="1" applyBorder="1" applyAlignment="1">
      <alignment vertical="center" wrapText="1"/>
    </xf>
    <xf numFmtId="0" fontId="72" fillId="3" borderId="0" xfId="0" applyFont="1" applyFill="1" applyAlignment="1">
      <alignment horizontal="left" wrapText="1"/>
    </xf>
    <xf numFmtId="0" fontId="96" fillId="3" borderId="0" xfId="0" applyFont="1" applyFill="1"/>
    <xf numFmtId="0" fontId="97" fillId="3" borderId="0" xfId="0" applyFont="1" applyFill="1"/>
    <xf numFmtId="0" fontId="17" fillId="3" borderId="0" xfId="0" applyFont="1" applyFill="1" applyAlignment="1">
      <alignment horizontal="left" vertical="center" wrapText="1"/>
    </xf>
    <xf numFmtId="0" fontId="17" fillId="3" borderId="25" xfId="0" applyFont="1" applyFill="1" applyBorder="1" applyAlignment="1">
      <alignment horizontal="left" vertical="center" wrapText="1"/>
    </xf>
    <xf numFmtId="0" fontId="17" fillId="3" borderId="25" xfId="0" applyFont="1" applyFill="1" applyBorder="1" applyAlignment="1">
      <alignment horizontal="left" wrapText="1"/>
    </xf>
    <xf numFmtId="0" fontId="73" fillId="3" borderId="0" xfId="5" applyFont="1" applyFill="1"/>
    <xf numFmtId="0" fontId="76" fillId="23" borderId="0" xfId="5" applyFont="1" applyFill="1" applyAlignment="1">
      <alignment horizontal="left" vertical="center"/>
    </xf>
    <xf numFmtId="0" fontId="69" fillId="23" borderId="0" xfId="5" applyFont="1" applyFill="1" applyAlignment="1">
      <alignment horizontal="left" vertical="center"/>
    </xf>
    <xf numFmtId="0" fontId="69" fillId="23" borderId="0" xfId="5" applyFont="1" applyFill="1" applyAlignment="1">
      <alignment horizontal="right" vertical="center"/>
    </xf>
    <xf numFmtId="0" fontId="14" fillId="3" borderId="0" xfId="0" applyFont="1" applyFill="1"/>
    <xf numFmtId="0" fontId="0" fillId="3" borderId="6" xfId="0" applyFill="1" applyBorder="1" applyAlignment="1">
      <alignment horizontal="left" vertical="top" wrapText="1"/>
    </xf>
    <xf numFmtId="0" fontId="65" fillId="22" borderId="1" xfId="0" applyFont="1" applyFill="1" applyBorder="1"/>
    <xf numFmtId="0" fontId="0" fillId="22" borderId="4" xfId="0" applyFill="1" applyBorder="1"/>
    <xf numFmtId="169" fontId="7" fillId="3" borderId="0" xfId="0" applyNumberFormat="1" applyFont="1" applyFill="1" applyAlignment="1">
      <alignment vertical="center"/>
    </xf>
    <xf numFmtId="15" fontId="0" fillId="3" borderId="12" xfId="0" applyNumberFormat="1" applyFill="1" applyBorder="1" applyAlignment="1">
      <alignment horizontal="left" vertical="center"/>
    </xf>
    <xf numFmtId="167" fontId="0" fillId="11" borderId="9" xfId="4" applyNumberFormat="1" applyFont="1" applyFill="1" applyBorder="1"/>
    <xf numFmtId="167" fontId="0" fillId="3" borderId="9" xfId="4" applyNumberFormat="1" applyFont="1" applyFill="1" applyBorder="1"/>
    <xf numFmtId="0" fontId="4" fillId="5" borderId="3" xfId="0" applyFont="1" applyFill="1" applyBorder="1" applyAlignment="1">
      <alignment vertical="center"/>
    </xf>
    <xf numFmtId="169" fontId="4" fillId="6" borderId="10" xfId="4" applyNumberFormat="1" applyFont="1" applyFill="1" applyBorder="1" applyAlignment="1">
      <alignment vertical="center"/>
    </xf>
    <xf numFmtId="169" fontId="4" fillId="6" borderId="11" xfId="4" applyNumberFormat="1" applyFont="1" applyFill="1" applyBorder="1" applyAlignment="1">
      <alignment vertical="center"/>
    </xf>
    <xf numFmtId="169" fontId="4" fillId="6" borderId="30" xfId="4" applyNumberFormat="1" applyFont="1" applyFill="1" applyBorder="1" applyAlignment="1">
      <alignment vertical="center"/>
    </xf>
    <xf numFmtId="0" fontId="0" fillId="11" borderId="7" xfId="0" applyFill="1" applyBorder="1" applyAlignment="1">
      <alignment vertical="center" wrapText="1"/>
    </xf>
    <xf numFmtId="0" fontId="4" fillId="3" borderId="7" xfId="0" applyFont="1" applyFill="1" applyBorder="1"/>
    <xf numFmtId="0" fontId="0" fillId="3" borderId="3" xfId="0" applyFill="1" applyBorder="1" applyAlignment="1">
      <alignment vertical="center"/>
    </xf>
    <xf numFmtId="9" fontId="5" fillId="3" borderId="8" xfId="0" applyNumberFormat="1" applyFont="1" applyFill="1" applyBorder="1" applyAlignment="1">
      <alignment horizontal="center" vertical="center"/>
    </xf>
    <xf numFmtId="0" fontId="0" fillId="0" borderId="3" xfId="0" applyBorder="1" applyAlignment="1">
      <alignment wrapText="1"/>
    </xf>
    <xf numFmtId="167" fontId="0" fillId="3" borderId="0" xfId="4" applyNumberFormat="1" applyFont="1" applyFill="1" applyBorder="1"/>
    <xf numFmtId="0" fontId="0" fillId="28" borderId="6" xfId="0" applyFill="1" applyBorder="1"/>
    <xf numFmtId="0" fontId="0" fillId="28" borderId="25" xfId="0" applyFill="1" applyBorder="1"/>
    <xf numFmtId="0" fontId="17" fillId="3" borderId="6" xfId="0" applyFont="1" applyFill="1" applyBorder="1" applyAlignment="1">
      <alignment horizontal="left" vertical="center" wrapText="1"/>
    </xf>
    <xf numFmtId="0" fontId="91" fillId="11" borderId="2" xfId="0" applyFont="1" applyFill="1" applyBorder="1" applyAlignment="1">
      <alignment vertical="center"/>
    </xf>
    <xf numFmtId="0" fontId="97" fillId="3" borderId="6" xfId="0" applyFont="1" applyFill="1" applyBorder="1"/>
    <xf numFmtId="0" fontId="25" fillId="3" borderId="25" xfId="0" applyFont="1" applyFill="1" applyBorder="1"/>
    <xf numFmtId="10" fontId="5" fillId="3" borderId="1" xfId="0" applyNumberFormat="1" applyFont="1" applyFill="1" applyBorder="1" applyAlignment="1">
      <alignment horizontal="center" vertical="center"/>
    </xf>
    <xf numFmtId="0" fontId="21" fillId="5" borderId="9" xfId="0" applyFont="1" applyFill="1" applyBorder="1"/>
    <xf numFmtId="0" fontId="10" fillId="21" borderId="0" xfId="0" applyFont="1" applyFill="1" applyAlignment="1">
      <alignment vertical="center" wrapText="1"/>
    </xf>
    <xf numFmtId="0" fontId="6" fillId="11" borderId="6" xfId="0" applyFont="1" applyFill="1" applyBorder="1" applyAlignment="1">
      <alignment horizontal="center" vertical="center"/>
    </xf>
    <xf numFmtId="169" fontId="6" fillId="11" borderId="6" xfId="4" applyNumberFormat="1" applyFont="1" applyFill="1" applyBorder="1" applyAlignment="1">
      <alignment vertical="center"/>
    </xf>
    <xf numFmtId="169" fontId="6" fillId="11" borderId="0" xfId="4" applyNumberFormat="1" applyFont="1" applyFill="1" applyBorder="1" applyAlignment="1">
      <alignment vertical="center"/>
    </xf>
    <xf numFmtId="169" fontId="6" fillId="11" borderId="25" xfId="4" applyNumberFormat="1" applyFont="1" applyFill="1" applyBorder="1" applyAlignment="1">
      <alignment vertical="center"/>
    </xf>
    <xf numFmtId="0" fontId="93" fillId="6" borderId="1" xfId="0" applyFont="1" applyFill="1" applyBorder="1" applyAlignment="1">
      <alignment horizontal="center" vertical="center" wrapText="1"/>
    </xf>
    <xf numFmtId="172" fontId="20" fillId="3" borderId="8" xfId="0" applyNumberFormat="1" applyFont="1" applyFill="1" applyBorder="1"/>
    <xf numFmtId="0" fontId="0" fillId="30" borderId="6" xfId="0" applyFill="1" applyBorder="1" applyAlignment="1">
      <alignment vertical="center"/>
    </xf>
    <xf numFmtId="0" fontId="0" fillId="3" borderId="8" xfId="0" applyFill="1" applyBorder="1" applyAlignment="1">
      <alignment vertical="center" wrapText="1"/>
    </xf>
    <xf numFmtId="0" fontId="17" fillId="28" borderId="0" xfId="0" applyFont="1" applyFill="1" applyAlignment="1">
      <alignment vertical="center" wrapText="1"/>
    </xf>
    <xf numFmtId="0" fontId="0" fillId="0" borderId="4" xfId="0" applyBorder="1" applyAlignment="1">
      <alignment wrapText="1"/>
    </xf>
    <xf numFmtId="166" fontId="5" fillId="3" borderId="8" xfId="0" applyNumberFormat="1" applyFont="1" applyFill="1" applyBorder="1" applyAlignment="1">
      <alignment horizontal="center" vertical="center"/>
    </xf>
    <xf numFmtId="169" fontId="4" fillId="6" borderId="29" xfId="4" applyNumberFormat="1" applyFont="1" applyFill="1" applyBorder="1" applyAlignment="1">
      <alignment vertical="center"/>
    </xf>
    <xf numFmtId="169" fontId="4" fillId="6" borderId="24" xfId="4" applyNumberFormat="1" applyFont="1" applyFill="1" applyBorder="1" applyAlignment="1">
      <alignment vertical="center"/>
    </xf>
    <xf numFmtId="0" fontId="5" fillId="3" borderId="10" xfId="0" applyFont="1" applyFill="1" applyBorder="1" applyAlignment="1">
      <alignment horizontal="center" vertical="center"/>
    </xf>
    <xf numFmtId="0" fontId="6" fillId="11" borderId="11" xfId="0" applyFont="1" applyFill="1" applyBorder="1" applyAlignment="1">
      <alignment horizontal="center" vertical="center"/>
    </xf>
    <xf numFmtId="0" fontId="6" fillId="11" borderId="6" xfId="0" applyFont="1" applyFill="1" applyBorder="1" applyAlignment="1">
      <alignment vertical="center" wrapText="1"/>
    </xf>
    <xf numFmtId="0" fontId="6" fillId="11" borderId="9" xfId="0" applyFont="1" applyFill="1" applyBorder="1" applyAlignment="1">
      <alignment horizontal="center" vertical="center"/>
    </xf>
    <xf numFmtId="0" fontId="88" fillId="11" borderId="8" xfId="5" applyFont="1" applyFill="1" applyBorder="1" applyAlignment="1"/>
    <xf numFmtId="0" fontId="88" fillId="11" borderId="29" xfId="5" applyFont="1" applyFill="1" applyBorder="1" applyAlignment="1"/>
    <xf numFmtId="0" fontId="88" fillId="11" borderId="24" xfId="5" applyFont="1" applyFill="1" applyBorder="1" applyAlignment="1"/>
    <xf numFmtId="0" fontId="15" fillId="3" borderId="10" xfId="0" applyFont="1" applyFill="1" applyBorder="1" applyAlignment="1">
      <alignment horizontal="left" wrapText="1"/>
    </xf>
    <xf numFmtId="0" fontId="15" fillId="3" borderId="11" xfId="0" applyFont="1" applyFill="1" applyBorder="1" applyAlignment="1">
      <alignment horizontal="left" wrapText="1"/>
    </xf>
    <xf numFmtId="0" fontId="15" fillId="3" borderId="30" xfId="0" applyFont="1" applyFill="1" applyBorder="1" applyAlignment="1">
      <alignment horizontal="left" wrapText="1"/>
    </xf>
    <xf numFmtId="0" fontId="6" fillId="11" borderId="11" xfId="0" applyFont="1" applyFill="1" applyBorder="1" applyAlignment="1">
      <alignment horizontal="centerContinuous" vertical="center" wrapText="1"/>
    </xf>
    <xf numFmtId="0" fontId="6" fillId="3" borderId="29" xfId="0" applyFont="1" applyFill="1" applyBorder="1" applyAlignment="1">
      <alignment horizontal="centerContinuous" wrapText="1"/>
    </xf>
    <xf numFmtId="0" fontId="6" fillId="11" borderId="11" xfId="0" applyFont="1" applyFill="1" applyBorder="1" applyAlignment="1">
      <alignment horizontal="centerContinuous" wrapText="1"/>
    </xf>
    <xf numFmtId="0" fontId="6" fillId="3" borderId="24" xfId="0" applyFont="1" applyFill="1" applyBorder="1" applyAlignment="1">
      <alignment horizontal="center" vertical="center"/>
    </xf>
    <xf numFmtId="0" fontId="6" fillId="11" borderId="30" xfId="0" applyFont="1" applyFill="1" applyBorder="1" applyAlignment="1">
      <alignment horizontal="center" vertical="center"/>
    </xf>
    <xf numFmtId="0" fontId="6" fillId="11" borderId="10" xfId="0" applyFont="1" applyFill="1" applyBorder="1" applyAlignment="1">
      <alignment horizontal="left" vertical="center"/>
    </xf>
    <xf numFmtId="0" fontId="4" fillId="6" borderId="10" xfId="0" applyFont="1" applyFill="1" applyBorder="1" applyAlignment="1">
      <alignment vertical="center" wrapText="1"/>
    </xf>
    <xf numFmtId="0" fontId="4" fillId="6" borderId="8" xfId="0" applyFont="1" applyFill="1" applyBorder="1" applyAlignment="1">
      <alignment vertical="center" wrapText="1"/>
    </xf>
    <xf numFmtId="0" fontId="7" fillId="3" borderId="8" xfId="0" applyFont="1" applyFill="1" applyBorder="1" applyAlignment="1">
      <alignment horizontal="centerContinuous" wrapText="1"/>
    </xf>
    <xf numFmtId="0" fontId="7" fillId="3" borderId="29" xfId="0" applyFont="1" applyFill="1" applyBorder="1" applyAlignment="1">
      <alignment horizontal="centerContinuous" wrapText="1"/>
    </xf>
    <xf numFmtId="0" fontId="7" fillId="3" borderId="24" xfId="0" applyFont="1" applyFill="1" applyBorder="1" applyAlignment="1">
      <alignment horizontal="centerContinuous" wrapText="1"/>
    </xf>
    <xf numFmtId="0" fontId="7" fillId="3" borderId="10" xfId="0" applyFont="1" applyFill="1" applyBorder="1" applyAlignment="1">
      <alignment horizontal="centerContinuous" wrapText="1"/>
    </xf>
    <xf numFmtId="0" fontId="7" fillId="3" borderId="11" xfId="0" applyFont="1" applyFill="1" applyBorder="1" applyAlignment="1">
      <alignment horizontal="centerContinuous" wrapText="1"/>
    </xf>
    <xf numFmtId="0" fontId="7" fillId="3" borderId="30" xfId="0" applyFont="1" applyFill="1" applyBorder="1" applyAlignment="1">
      <alignment horizontal="centerContinuous"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169" fontId="20" fillId="11" borderId="9" xfId="4" applyNumberFormat="1" applyFont="1" applyFill="1" applyBorder="1" applyAlignment="1">
      <alignment vertical="center"/>
    </xf>
    <xf numFmtId="169" fontId="20" fillId="3" borderId="9" xfId="4" applyNumberFormat="1" applyFont="1" applyFill="1" applyBorder="1" applyAlignment="1">
      <alignment vertical="center"/>
    </xf>
    <xf numFmtId="169" fontId="20" fillId="3" borderId="12" xfId="4" applyNumberFormat="1" applyFont="1" applyFill="1" applyBorder="1" applyAlignment="1">
      <alignment vertical="center"/>
    </xf>
    <xf numFmtId="0" fontId="88" fillId="11" borderId="6" xfId="5" applyFont="1" applyFill="1" applyBorder="1" applyAlignment="1"/>
    <xf numFmtId="0" fontId="88" fillId="11" borderId="25" xfId="5" applyFont="1" applyFill="1" applyBorder="1" applyAlignment="1"/>
    <xf numFmtId="0" fontId="17" fillId="3" borderId="0" xfId="0" applyFont="1" applyFill="1" applyAlignment="1">
      <alignment vertical="center" wrapText="1"/>
    </xf>
    <xf numFmtId="169" fontId="68" fillId="0" borderId="35" xfId="4" applyNumberFormat="1" applyFont="1" applyFill="1" applyBorder="1"/>
    <xf numFmtId="0" fontId="70" fillId="3" borderId="0" xfId="0" applyFont="1" applyFill="1"/>
    <xf numFmtId="0" fontId="70" fillId="3" borderId="0" xfId="0" applyFont="1" applyFill="1" applyAlignment="1">
      <alignment vertical="top"/>
    </xf>
    <xf numFmtId="1" fontId="0" fillId="20" borderId="0" xfId="2" applyNumberFormat="1" applyFont="1" applyFill="1" applyBorder="1"/>
    <xf numFmtId="0" fontId="48" fillId="22" borderId="0" xfId="0" applyFont="1" applyFill="1" applyAlignment="1">
      <alignment vertical="center" wrapText="1"/>
    </xf>
    <xf numFmtId="0" fontId="4" fillId="0" borderId="1" xfId="0" applyFont="1" applyBorder="1" applyAlignment="1">
      <alignment vertical="center" wrapText="1"/>
    </xf>
    <xf numFmtId="0" fontId="4" fillId="26" borderId="1" xfId="0" applyFont="1" applyFill="1" applyBorder="1" applyAlignment="1">
      <alignment horizontal="left" wrapText="1"/>
    </xf>
    <xf numFmtId="0" fontId="4" fillId="3" borderId="3" xfId="0" applyFont="1" applyFill="1" applyBorder="1"/>
    <xf numFmtId="1" fontId="0" fillId="20" borderId="29" xfId="2" applyNumberFormat="1" applyFont="1" applyFill="1" applyBorder="1"/>
    <xf numFmtId="0" fontId="104" fillId="3" borderId="0" xfId="0" applyFont="1" applyFill="1"/>
    <xf numFmtId="0" fontId="16" fillId="11" borderId="2" xfId="0" applyFont="1" applyFill="1" applyBorder="1" applyAlignment="1">
      <alignment vertical="center"/>
    </xf>
    <xf numFmtId="0" fontId="93" fillId="6" borderId="8" xfId="0" applyFont="1" applyFill="1" applyBorder="1" applyAlignment="1">
      <alignment horizontal="center" vertical="center"/>
    </xf>
    <xf numFmtId="0" fontId="93" fillId="6" borderId="10" xfId="0" applyFont="1" applyFill="1" applyBorder="1" applyAlignment="1">
      <alignment horizontal="center" vertical="center"/>
    </xf>
    <xf numFmtId="169" fontId="1" fillId="3" borderId="10" xfId="4" applyNumberFormat="1" applyFont="1" applyFill="1" applyBorder="1" applyAlignment="1">
      <alignment vertical="center"/>
    </xf>
    <xf numFmtId="169" fontId="1" fillId="3" borderId="11" xfId="4" applyNumberFormat="1" applyFont="1" applyFill="1" applyBorder="1" applyAlignment="1">
      <alignment vertical="center"/>
    </xf>
    <xf numFmtId="169" fontId="1" fillId="3" borderId="30" xfId="4" applyNumberFormat="1" applyFont="1" applyFill="1" applyBorder="1" applyAlignment="1">
      <alignment vertical="center"/>
    </xf>
    <xf numFmtId="0" fontId="68" fillId="0" borderId="3" xfId="0" applyFont="1" applyBorder="1" applyAlignment="1">
      <alignment vertical="center" wrapText="1"/>
    </xf>
    <xf numFmtId="0" fontId="0" fillId="11" borderId="3" xfId="0" applyFill="1" applyBorder="1" applyAlignment="1">
      <alignment vertical="center"/>
    </xf>
    <xf numFmtId="169" fontId="20" fillId="11" borderId="30" xfId="4" applyNumberFormat="1" applyFont="1" applyFill="1" applyBorder="1"/>
    <xf numFmtId="0" fontId="0" fillId="3" borderId="7" xfId="0" applyFill="1" applyBorder="1"/>
    <xf numFmtId="0" fontId="0" fillId="11" borderId="12" xfId="0" applyFill="1" applyBorder="1"/>
    <xf numFmtId="169" fontId="7" fillId="11" borderId="3" xfId="0" applyNumberFormat="1" applyFont="1" applyFill="1" applyBorder="1" applyAlignment="1">
      <alignment vertical="center"/>
    </xf>
    <xf numFmtId="0" fontId="4" fillId="3" borderId="8" xfId="0" applyFont="1" applyFill="1" applyBorder="1" applyAlignment="1">
      <alignment horizontal="center"/>
    </xf>
    <xf numFmtId="0" fontId="89" fillId="11" borderId="4" xfId="0" applyFont="1" applyFill="1" applyBorder="1" applyAlignment="1">
      <alignment vertical="center"/>
    </xf>
    <xf numFmtId="0" fontId="4" fillId="0" borderId="6" xfId="0" applyFont="1" applyBorder="1"/>
    <xf numFmtId="0" fontId="0" fillId="3" borderId="11" xfId="0" applyFill="1" applyBorder="1" applyAlignment="1">
      <alignment vertical="center" wrapText="1"/>
    </xf>
    <xf numFmtId="0" fontId="105" fillId="11" borderId="1" xfId="5" applyFont="1" applyFill="1" applyBorder="1" applyAlignment="1"/>
    <xf numFmtId="0" fontId="105" fillId="11" borderId="1" xfId="5" applyFont="1" applyFill="1" applyBorder="1"/>
    <xf numFmtId="169" fontId="1" fillId="11" borderId="6" xfId="4" applyNumberFormat="1" applyFont="1" applyFill="1" applyBorder="1" applyAlignment="1">
      <alignment vertical="center"/>
    </xf>
    <xf numFmtId="169" fontId="1" fillId="11" borderId="25" xfId="4" applyNumberFormat="1" applyFont="1" applyFill="1" applyBorder="1" applyAlignment="1">
      <alignment vertical="center"/>
    </xf>
    <xf numFmtId="0" fontId="6" fillId="3" borderId="9" xfId="0" applyFont="1" applyFill="1" applyBorder="1"/>
    <xf numFmtId="0" fontId="0" fillId="11" borderId="1" xfId="0" applyFill="1" applyBorder="1" applyAlignment="1">
      <alignment horizontal="left" wrapText="1"/>
    </xf>
    <xf numFmtId="0" fontId="11" fillId="11" borderId="4" xfId="5" applyFill="1" applyBorder="1" applyAlignment="1">
      <alignment vertical="center" wrapText="1"/>
    </xf>
    <xf numFmtId="0" fontId="46" fillId="11" borderId="4" xfId="0" applyFont="1" applyFill="1" applyBorder="1"/>
    <xf numFmtId="0" fontId="46" fillId="11" borderId="2" xfId="0" applyFont="1" applyFill="1" applyBorder="1"/>
    <xf numFmtId="15" fontId="78" fillId="22" borderId="0" xfId="0" applyNumberFormat="1" applyFont="1" applyFill="1" applyAlignment="1">
      <alignment horizontal="right" vertical="center"/>
    </xf>
    <xf numFmtId="0" fontId="14" fillId="3" borderId="24" xfId="0" applyFont="1" applyFill="1" applyBorder="1" applyAlignment="1">
      <alignment vertical="center" wrapText="1"/>
    </xf>
    <xf numFmtId="0" fontId="106" fillId="22" borderId="0" xfId="0" applyFont="1" applyFill="1" applyAlignment="1">
      <alignment horizontal="right" vertical="center"/>
    </xf>
    <xf numFmtId="0" fontId="17" fillId="28" borderId="6" xfId="0" applyFont="1" applyFill="1" applyBorder="1" applyAlignment="1">
      <alignment horizontal="left" vertical="center" wrapText="1"/>
    </xf>
    <xf numFmtId="0" fontId="17" fillId="28" borderId="25" xfId="0" applyFont="1" applyFill="1" applyBorder="1" applyAlignment="1">
      <alignment horizontal="left" vertical="center" wrapText="1"/>
    </xf>
    <xf numFmtId="0" fontId="107" fillId="3" borderId="1" xfId="0" applyFont="1" applyFill="1" applyBorder="1" applyAlignment="1">
      <alignment vertical="center"/>
    </xf>
    <xf numFmtId="0" fontId="107" fillId="3" borderId="10" xfId="0" applyFont="1" applyFill="1" applyBorder="1" applyAlignment="1">
      <alignment vertical="center"/>
    </xf>
    <xf numFmtId="0" fontId="107" fillId="3" borderId="8" xfId="0" applyFont="1" applyFill="1" applyBorder="1" applyAlignment="1">
      <alignment vertical="center"/>
    </xf>
    <xf numFmtId="0" fontId="107" fillId="3" borderId="6" xfId="0" applyFont="1" applyFill="1" applyBorder="1" applyAlignment="1">
      <alignment vertical="center"/>
    </xf>
    <xf numFmtId="0" fontId="0" fillId="3" borderId="0" xfId="0" applyFill="1" applyAlignment="1">
      <alignment horizontal="left" vertical="top" wrapText="1"/>
    </xf>
    <xf numFmtId="0" fontId="17" fillId="28" borderId="0" xfId="0" applyFont="1" applyFill="1" applyAlignment="1">
      <alignment horizontal="left" vertical="center" wrapText="1"/>
    </xf>
    <xf numFmtId="0" fontId="0" fillId="4" borderId="1" xfId="0" applyFill="1" applyBorder="1"/>
    <xf numFmtId="0" fontId="0" fillId="4" borderId="2" xfId="0" applyFill="1" applyBorder="1"/>
    <xf numFmtId="0" fontId="0" fillId="3" borderId="0" xfId="0" applyFill="1" applyAlignment="1">
      <alignment vertical="center"/>
    </xf>
    <xf numFmtId="0" fontId="5" fillId="3" borderId="0" xfId="0" applyFont="1" applyFill="1" applyAlignment="1">
      <alignment horizontal="center"/>
    </xf>
    <xf numFmtId="173" fontId="0" fillId="3" borderId="0" xfId="0" applyNumberFormat="1" applyFill="1"/>
    <xf numFmtId="0" fontId="0" fillId="3" borderId="4" xfId="0" applyFill="1" applyBorder="1" applyAlignment="1">
      <alignment vertical="center"/>
    </xf>
    <xf numFmtId="9" fontId="5" fillId="3" borderId="4" xfId="0" applyNumberFormat="1" applyFont="1" applyFill="1" applyBorder="1" applyAlignment="1">
      <alignment horizontal="center" vertical="center"/>
    </xf>
    <xf numFmtId="0" fontId="102" fillId="3" borderId="0" xfId="0" applyFont="1" applyFill="1" applyAlignment="1">
      <alignment vertical="center"/>
    </xf>
    <xf numFmtId="0" fontId="41" fillId="3" borderId="10" xfId="0" applyFont="1" applyFill="1" applyBorder="1" applyAlignment="1">
      <alignment horizontal="right"/>
    </xf>
    <xf numFmtId="0" fontId="0" fillId="3" borderId="11" xfId="0" applyFill="1" applyBorder="1" applyAlignment="1">
      <alignment vertical="center"/>
    </xf>
    <xf numFmtId="0" fontId="5" fillId="3" borderId="11" xfId="0" applyFont="1" applyFill="1" applyBorder="1" applyAlignment="1">
      <alignment horizontal="center"/>
    </xf>
    <xf numFmtId="173" fontId="0" fillId="3" borderId="11" xfId="0" applyNumberFormat="1" applyFill="1" applyBorder="1"/>
    <xf numFmtId="0" fontId="7" fillId="3" borderId="0" xfId="0" applyFont="1" applyFill="1" applyAlignment="1">
      <alignment horizontal="right" wrapText="1"/>
    </xf>
    <xf numFmtId="169" fontId="99" fillId="3" borderId="0" xfId="0" applyNumberFormat="1" applyFont="1" applyFill="1" applyAlignment="1">
      <alignment vertical="center"/>
    </xf>
    <xf numFmtId="0" fontId="98" fillId="3" borderId="6" xfId="0" applyFont="1" applyFill="1" applyBorder="1"/>
    <xf numFmtId="0" fontId="90" fillId="3" borderId="0" xfId="0" applyFont="1" applyFill="1"/>
    <xf numFmtId="169" fontId="99" fillId="3" borderId="11" xfId="0" applyNumberFormat="1" applyFont="1" applyFill="1" applyBorder="1" applyAlignment="1">
      <alignment horizontal="right" vertical="center"/>
    </xf>
    <xf numFmtId="169" fontId="99" fillId="3" borderId="11" xfId="0" applyNumberFormat="1" applyFont="1" applyFill="1" applyBorder="1" applyAlignment="1">
      <alignment vertical="center"/>
    </xf>
    <xf numFmtId="0" fontId="76" fillId="23" borderId="6" xfId="5" applyFont="1" applyFill="1" applyBorder="1" applyAlignment="1">
      <alignment horizontal="left" vertical="center"/>
    </xf>
    <xf numFmtId="0" fontId="90" fillId="3" borderId="10" xfId="0" applyFont="1" applyFill="1" applyBorder="1"/>
    <xf numFmtId="0" fontId="4" fillId="3" borderId="11" xfId="0" applyFont="1" applyFill="1" applyBorder="1" applyAlignment="1">
      <alignment vertical="center"/>
    </xf>
    <xf numFmtId="167" fontId="0" fillId="3" borderId="11" xfId="4" applyNumberFormat="1" applyFont="1" applyFill="1" applyBorder="1"/>
    <xf numFmtId="0" fontId="17" fillId="3" borderId="6" xfId="0" applyFont="1" applyFill="1" applyBorder="1" applyAlignment="1">
      <alignment horizontal="left" wrapText="1"/>
    </xf>
    <xf numFmtId="0" fontId="17" fillId="3" borderId="0" xfId="0" applyFont="1" applyFill="1" applyAlignment="1">
      <alignment horizontal="left" wrapText="1"/>
    </xf>
    <xf numFmtId="0" fontId="97" fillId="3" borderId="8" xfId="0" applyFont="1" applyFill="1" applyBorder="1"/>
    <xf numFmtId="0" fontId="17" fillId="3" borderId="29" xfId="0" applyFont="1" applyFill="1" applyBorder="1"/>
    <xf numFmtId="0" fontId="22" fillId="3" borderId="11" xfId="0" applyFont="1" applyFill="1" applyBorder="1" applyAlignment="1">
      <alignment vertical="center"/>
    </xf>
    <xf numFmtId="169" fontId="4" fillId="3" borderId="11" xfId="0" applyNumberFormat="1" applyFont="1" applyFill="1" applyBorder="1" applyAlignment="1">
      <alignment vertical="center"/>
    </xf>
    <xf numFmtId="174" fontId="0" fillId="3" borderId="0" xfId="0" applyNumberFormat="1" applyFill="1"/>
    <xf numFmtId="0" fontId="33" fillId="3" borderId="0" xfId="0" applyFont="1" applyFill="1" applyAlignment="1">
      <alignment vertical="center"/>
    </xf>
    <xf numFmtId="0" fontId="38" fillId="3" borderId="0" xfId="0" applyFont="1" applyFill="1"/>
    <xf numFmtId="15" fontId="69" fillId="3" borderId="25" xfId="5" applyNumberFormat="1" applyFont="1" applyFill="1" applyBorder="1" applyAlignment="1">
      <alignment horizontal="left" vertical="center"/>
    </xf>
    <xf numFmtId="0" fontId="0" fillId="0" borderId="25" xfId="0" applyBorder="1"/>
    <xf numFmtId="15" fontId="0" fillId="3" borderId="0" xfId="0" applyNumberFormat="1" applyFill="1" applyAlignment="1">
      <alignment horizontal="left" vertical="center"/>
    </xf>
    <xf numFmtId="170" fontId="20" fillId="3" borderId="0" xfId="0" applyNumberFormat="1" applyFont="1" applyFill="1" applyAlignment="1">
      <alignment horizontal="center" vertical="center" wrapText="1"/>
    </xf>
    <xf numFmtId="2" fontId="4" fillId="3" borderId="0" xfId="0" applyNumberFormat="1" applyFont="1" applyFill="1" applyAlignment="1">
      <alignment horizontal="center" vertical="center"/>
    </xf>
    <xf numFmtId="15" fontId="0" fillId="3" borderId="11" xfId="0" applyNumberFormat="1" applyFill="1" applyBorder="1" applyAlignment="1">
      <alignment horizontal="left" vertical="center"/>
    </xf>
    <xf numFmtId="170" fontId="20" fillId="3" borderId="11" xfId="0" applyNumberFormat="1" applyFont="1" applyFill="1" applyBorder="1" applyAlignment="1">
      <alignment horizontal="center" vertical="center" wrapText="1"/>
    </xf>
    <xf numFmtId="2" fontId="4" fillId="3" borderId="11" xfId="0" applyNumberFormat="1" applyFont="1" applyFill="1" applyBorder="1" applyAlignment="1">
      <alignment horizontal="center" vertical="center"/>
    </xf>
    <xf numFmtId="15" fontId="69" fillId="3" borderId="30" xfId="5" applyNumberFormat="1" applyFont="1" applyFill="1" applyBorder="1" applyAlignment="1">
      <alignment horizontal="left" vertical="center"/>
    </xf>
    <xf numFmtId="0" fontId="46" fillId="3" borderId="0" xfId="0" applyFont="1" applyFill="1"/>
    <xf numFmtId="0" fontId="46" fillId="3" borderId="0" xfId="0" applyFont="1" applyFill="1" applyAlignment="1">
      <alignment wrapText="1"/>
    </xf>
    <xf numFmtId="0" fontId="33" fillId="3" borderId="11" xfId="0" applyFont="1" applyFill="1" applyBorder="1" applyAlignment="1">
      <alignment vertical="center"/>
    </xf>
    <xf numFmtId="0" fontId="4" fillId="0" borderId="25" xfId="0" applyFont="1" applyBorder="1" applyAlignment="1">
      <alignment vertical="top" wrapText="1"/>
    </xf>
    <xf numFmtId="0" fontId="0" fillId="0" borderId="6" xfId="0" applyBorder="1"/>
    <xf numFmtId="0" fontId="4" fillId="3" borderId="0" xfId="0" applyFont="1" applyFill="1" applyAlignment="1">
      <alignment horizontal="left" vertical="top" wrapText="1"/>
    </xf>
    <xf numFmtId="0" fontId="4" fillId="3" borderId="25" xfId="0" applyFont="1" applyFill="1" applyBorder="1" applyAlignment="1">
      <alignment vertical="top" wrapText="1"/>
    </xf>
    <xf numFmtId="0" fontId="4" fillId="3" borderId="6" xfId="0" applyFont="1" applyFill="1" applyBorder="1" applyAlignment="1">
      <alignment horizontal="left" vertical="top" wrapText="1"/>
    </xf>
    <xf numFmtId="0" fontId="4" fillId="3" borderId="25" xfId="0" applyFont="1" applyFill="1" applyBorder="1" applyAlignment="1">
      <alignment horizontal="left" vertical="top" wrapText="1"/>
    </xf>
    <xf numFmtId="0" fontId="14" fillId="3" borderId="0" xfId="0" applyFont="1" applyFill="1" applyAlignment="1">
      <alignment vertical="center" wrapText="1"/>
    </xf>
    <xf numFmtId="0" fontId="14" fillId="3" borderId="25" xfId="0" applyFont="1" applyFill="1" applyBorder="1" applyAlignment="1">
      <alignment vertical="center" wrapText="1"/>
    </xf>
    <xf numFmtId="0" fontId="14" fillId="3" borderId="6" xfId="0" applyFont="1" applyFill="1" applyBorder="1" applyAlignment="1">
      <alignment vertical="center" wrapText="1"/>
    </xf>
    <xf numFmtId="177" fontId="4" fillId="3" borderId="7" xfId="1" applyNumberFormat="1" applyFont="1" applyFill="1" applyBorder="1" applyAlignment="1">
      <alignment horizontal="center" vertical="center"/>
    </xf>
    <xf numFmtId="177" fontId="4" fillId="11" borderId="9" xfId="1" applyNumberFormat="1" applyFont="1" applyFill="1" applyBorder="1" applyAlignment="1">
      <alignment horizontal="center" vertical="center"/>
    </xf>
    <xf numFmtId="177" fontId="4" fillId="3" borderId="9" xfId="1" applyNumberFormat="1" applyFont="1" applyFill="1" applyBorder="1" applyAlignment="1">
      <alignment horizontal="center" vertical="center"/>
    </xf>
    <xf numFmtId="177" fontId="4" fillId="3" borderId="12" xfId="1" applyNumberFormat="1" applyFont="1" applyFill="1" applyBorder="1" applyAlignment="1">
      <alignment horizontal="center" vertical="center"/>
    </xf>
    <xf numFmtId="177" fontId="0" fillId="3" borderId="6" xfId="1" applyNumberFormat="1" applyFont="1" applyFill="1" applyBorder="1" applyAlignment="1">
      <alignment horizontal="left" vertical="center"/>
    </xf>
    <xf numFmtId="177" fontId="0" fillId="11" borderId="6" xfId="1" applyNumberFormat="1" applyFont="1" applyFill="1" applyBorder="1" applyAlignment="1">
      <alignment horizontal="left" vertical="center"/>
    </xf>
    <xf numFmtId="177" fontId="0" fillId="3" borderId="10" xfId="1" applyNumberFormat="1" applyFont="1" applyFill="1" applyBorder="1" applyAlignment="1">
      <alignment horizontal="left" vertical="center"/>
    </xf>
    <xf numFmtId="170" fontId="4" fillId="3" borderId="9" xfId="0" applyNumberFormat="1" applyFont="1" applyFill="1" applyBorder="1" applyAlignment="1">
      <alignment horizontal="center" vertical="center"/>
    </xf>
    <xf numFmtId="170" fontId="4" fillId="11" borderId="9" xfId="0" applyNumberFormat="1" applyFont="1" applyFill="1" applyBorder="1" applyAlignment="1">
      <alignment horizontal="center" vertical="center"/>
    </xf>
    <xf numFmtId="170" fontId="4" fillId="3" borderId="12" xfId="0" applyNumberFormat="1" applyFont="1" applyFill="1" applyBorder="1" applyAlignment="1">
      <alignment horizontal="center" vertical="center"/>
    </xf>
    <xf numFmtId="0" fontId="7" fillId="3" borderId="2" xfId="0" applyFont="1" applyFill="1" applyBorder="1"/>
    <xf numFmtId="0" fontId="4" fillId="3" borderId="7" xfId="0" applyFont="1" applyFill="1" applyBorder="1" applyAlignment="1">
      <alignment horizontal="center" wrapText="1"/>
    </xf>
    <xf numFmtId="0" fontId="4" fillId="3" borderId="33" xfId="0" applyFont="1" applyFill="1" applyBorder="1" applyAlignment="1">
      <alignment horizontal="center" vertical="center" wrapText="1"/>
    </xf>
    <xf numFmtId="0" fontId="68" fillId="3" borderId="6" xfId="0" applyFont="1" applyFill="1" applyBorder="1" applyAlignment="1">
      <alignment vertical="center"/>
    </xf>
    <xf numFmtId="168" fontId="19" fillId="3" borderId="35" xfId="4" applyNumberFormat="1" applyFont="1" applyFill="1" applyBorder="1"/>
    <xf numFmtId="168" fontId="0" fillId="3" borderId="35" xfId="4" applyNumberFormat="1" applyFont="1" applyFill="1" applyBorder="1"/>
    <xf numFmtId="173" fontId="3" fillId="3" borderId="0" xfId="0" applyNumberFormat="1" applyFont="1" applyFill="1"/>
    <xf numFmtId="170" fontId="0" fillId="3" borderId="0" xfId="0" applyNumberFormat="1" applyFill="1"/>
    <xf numFmtId="169" fontId="0" fillId="3" borderId="0" xfId="0" applyNumberFormat="1" applyFill="1"/>
    <xf numFmtId="169" fontId="44" fillId="10" borderId="0" xfId="1" applyNumberFormat="1" applyFont="1" applyFill="1" applyBorder="1"/>
    <xf numFmtId="169" fontId="44" fillId="10" borderId="0" xfId="1" applyNumberFormat="1" applyFont="1" applyFill="1" applyBorder="1" applyAlignment="1">
      <alignment vertical="center"/>
    </xf>
    <xf numFmtId="169" fontId="108" fillId="3" borderId="35" xfId="4" applyNumberFormat="1" applyFont="1" applyFill="1" applyBorder="1"/>
    <xf numFmtId="169" fontId="108" fillId="11" borderId="35" xfId="4" applyNumberFormat="1" applyFont="1" applyFill="1" applyBorder="1"/>
    <xf numFmtId="169" fontId="19" fillId="11" borderId="35" xfId="4" applyNumberFormat="1" applyFont="1" applyFill="1" applyBorder="1"/>
    <xf numFmtId="169" fontId="0" fillId="11" borderId="35" xfId="4" applyNumberFormat="1" applyFont="1" applyFill="1" applyBorder="1"/>
    <xf numFmtId="169" fontId="19" fillId="3" borderId="35" xfId="4" applyNumberFormat="1" applyFont="1" applyFill="1" applyBorder="1"/>
    <xf numFmtId="169" fontId="0" fillId="3" borderId="35" xfId="4" applyNumberFormat="1" applyFont="1" applyFill="1" applyBorder="1"/>
    <xf numFmtId="169" fontId="19" fillId="3" borderId="36" xfId="4" applyNumberFormat="1" applyFont="1" applyFill="1" applyBorder="1"/>
    <xf numFmtId="169" fontId="18" fillId="5" borderId="34" xfId="0" applyNumberFormat="1" applyFont="1" applyFill="1" applyBorder="1" applyAlignment="1">
      <alignment vertical="center"/>
    </xf>
    <xf numFmtId="169" fontId="4" fillId="3" borderId="38" xfId="0" applyNumberFormat="1" applyFont="1" applyFill="1" applyBorder="1" applyAlignment="1">
      <alignment vertical="center"/>
    </xf>
    <xf numFmtId="169" fontId="0" fillId="3" borderId="39" xfId="4" applyNumberFormat="1" applyFont="1" applyFill="1" applyBorder="1"/>
    <xf numFmtId="169" fontId="18" fillId="7" borderId="41" xfId="0" applyNumberFormat="1" applyFont="1" applyFill="1" applyBorder="1" applyAlignment="1">
      <alignment vertical="center"/>
    </xf>
    <xf numFmtId="169" fontId="4" fillId="6" borderId="42" xfId="0" applyNumberFormat="1" applyFont="1" applyFill="1" applyBorder="1" applyAlignment="1">
      <alignment vertical="center"/>
    </xf>
    <xf numFmtId="169" fontId="4" fillId="6" borderId="8" xfId="4" applyNumberFormat="1" applyFont="1" applyFill="1" applyBorder="1" applyAlignment="1">
      <alignment vertical="center"/>
    </xf>
    <xf numFmtId="169" fontId="6" fillId="3" borderId="10" xfId="4" applyNumberFormat="1" applyFont="1" applyFill="1" applyBorder="1" applyAlignment="1">
      <alignment vertical="center"/>
    </xf>
    <xf numFmtId="170" fontId="20" fillId="0" borderId="9" xfId="0" applyNumberFormat="1" applyFont="1" applyBorder="1" applyAlignment="1">
      <alignment horizontal="center" vertical="center" wrapText="1"/>
    </xf>
    <xf numFmtId="170" fontId="4" fillId="6" borderId="21" xfId="0" applyNumberFormat="1" applyFont="1" applyFill="1" applyBorder="1" applyAlignment="1">
      <alignment vertical="center"/>
    </xf>
    <xf numFmtId="0" fontId="67" fillId="9" borderId="1" xfId="0" applyFont="1" applyFill="1" applyBorder="1"/>
    <xf numFmtId="0" fontId="67" fillId="9" borderId="3" xfId="0" applyFont="1" applyFill="1" applyBorder="1"/>
    <xf numFmtId="0" fontId="67" fillId="9" borderId="6" xfId="0" applyFont="1" applyFill="1" applyBorder="1"/>
    <xf numFmtId="0" fontId="67" fillId="9" borderId="9" xfId="0" applyFont="1" applyFill="1" applyBorder="1"/>
    <xf numFmtId="10" fontId="113" fillId="9" borderId="25" xfId="0" applyNumberFormat="1" applyFont="1" applyFill="1" applyBorder="1"/>
    <xf numFmtId="169" fontId="112" fillId="9" borderId="35" xfId="1" applyNumberFormat="1" applyFont="1" applyFill="1" applyBorder="1"/>
    <xf numFmtId="169" fontId="67" fillId="9" borderId="35" xfId="1" applyNumberFormat="1" applyFont="1" applyFill="1" applyBorder="1"/>
    <xf numFmtId="0" fontId="67" fillId="12" borderId="9" xfId="0" applyFont="1" applyFill="1" applyBorder="1"/>
    <xf numFmtId="169" fontId="108" fillId="12" borderId="35" xfId="1" applyNumberFormat="1" applyFont="1" applyFill="1" applyBorder="1"/>
    <xf numFmtId="169" fontId="67" fillId="12" borderId="35" xfId="1" applyNumberFormat="1" applyFont="1" applyFill="1" applyBorder="1"/>
    <xf numFmtId="169" fontId="108" fillId="10" borderId="25" xfId="0" applyNumberFormat="1" applyFont="1" applyFill="1" applyBorder="1"/>
    <xf numFmtId="0" fontId="67" fillId="12" borderId="6" xfId="0" applyFont="1" applyFill="1" applyBorder="1"/>
    <xf numFmtId="169" fontId="108" fillId="12" borderId="25" xfId="0" applyNumberFormat="1" applyFont="1" applyFill="1" applyBorder="1"/>
    <xf numFmtId="169" fontId="108" fillId="9" borderId="25" xfId="0" applyNumberFormat="1" applyFont="1" applyFill="1" applyBorder="1"/>
    <xf numFmtId="169" fontId="115" fillId="10" borderId="1" xfId="1" applyNumberFormat="1" applyFont="1" applyFill="1" applyBorder="1" applyAlignment="1">
      <alignment vertical="center"/>
    </xf>
    <xf numFmtId="169" fontId="114" fillId="10" borderId="3" xfId="1" applyNumberFormat="1" applyFont="1" applyFill="1" applyBorder="1" applyAlignment="1">
      <alignment vertical="center"/>
    </xf>
    <xf numFmtId="180" fontId="10" fillId="10" borderId="25" xfId="1" applyNumberFormat="1" applyFont="1" applyFill="1" applyBorder="1"/>
    <xf numFmtId="180" fontId="10" fillId="10" borderId="12" xfId="1" applyNumberFormat="1" applyFont="1" applyFill="1" applyBorder="1"/>
    <xf numFmtId="0" fontId="11" fillId="0" borderId="0" xfId="5" applyAlignment="1">
      <alignment vertical="center"/>
    </xf>
    <xf numFmtId="0" fontId="114" fillId="9" borderId="1" xfId="0" applyFont="1" applyFill="1" applyBorder="1" applyAlignment="1">
      <alignment vertical="center"/>
    </xf>
    <xf numFmtId="0" fontId="114" fillId="9" borderId="3" xfId="0" applyFont="1" applyFill="1" applyBorder="1" applyAlignment="1">
      <alignment vertical="center"/>
    </xf>
    <xf numFmtId="173" fontId="114" fillId="9" borderId="2" xfId="0" applyNumberFormat="1" applyFont="1" applyFill="1" applyBorder="1" applyAlignment="1">
      <alignment vertical="center"/>
    </xf>
    <xf numFmtId="0" fontId="4" fillId="5" borderId="71" xfId="0" applyFont="1" applyFill="1" applyBorder="1" applyAlignment="1">
      <alignment vertical="center"/>
    </xf>
    <xf numFmtId="169" fontId="18" fillId="5" borderId="72" xfId="0" applyNumberFormat="1" applyFont="1" applyFill="1" applyBorder="1" applyAlignment="1">
      <alignment vertical="center"/>
    </xf>
    <xf numFmtId="0" fontId="0" fillId="5" borderId="58" xfId="0" applyFill="1" applyBorder="1"/>
    <xf numFmtId="0" fontId="4" fillId="7" borderId="21" xfId="0" applyFont="1" applyFill="1" applyBorder="1" applyAlignment="1">
      <alignment vertical="center"/>
    </xf>
    <xf numFmtId="169" fontId="18" fillId="5" borderId="73" xfId="0" applyNumberFormat="1" applyFont="1" applyFill="1" applyBorder="1" applyAlignment="1">
      <alignment vertical="center"/>
    </xf>
    <xf numFmtId="170" fontId="0" fillId="3" borderId="0" xfId="0" applyNumberFormat="1" applyFill="1" applyAlignment="1">
      <alignment horizontal="center" vertical="center"/>
    </xf>
    <xf numFmtId="1" fontId="0" fillId="26" borderId="3" xfId="2" applyNumberFormat="1" applyFont="1" applyFill="1" applyBorder="1" applyAlignment="1">
      <alignment horizontal="right"/>
    </xf>
    <xf numFmtId="1" fontId="0" fillId="0" borderId="3" xfId="2" applyNumberFormat="1" applyFont="1" applyBorder="1" applyAlignment="1">
      <alignment horizontal="right"/>
    </xf>
    <xf numFmtId="1" fontId="0" fillId="0" borderId="3" xfId="2" applyNumberFormat="1" applyFont="1" applyFill="1" applyBorder="1" applyAlignment="1"/>
    <xf numFmtId="9" fontId="0" fillId="0" borderId="3" xfId="2" applyFont="1" applyFill="1" applyBorder="1" applyAlignment="1"/>
    <xf numFmtId="9" fontId="0" fillId="0" borderId="3" xfId="2" applyFont="1" applyBorder="1" applyAlignment="1">
      <alignment horizontal="right"/>
    </xf>
    <xf numFmtId="166" fontId="0" fillId="0" borderId="3" xfId="2" applyNumberFormat="1" applyFont="1" applyFill="1" applyBorder="1" applyAlignment="1">
      <alignment horizontal="right"/>
    </xf>
    <xf numFmtId="10" fontId="20" fillId="0" borderId="29" xfId="0" applyNumberFormat="1" applyFont="1" applyBorder="1"/>
    <xf numFmtId="166" fontId="5" fillId="11" borderId="3" xfId="0" applyNumberFormat="1" applyFont="1" applyFill="1" applyBorder="1" applyAlignment="1">
      <alignment horizontal="center" vertical="center"/>
    </xf>
    <xf numFmtId="1" fontId="103" fillId="11" borderId="8" xfId="2" applyNumberFormat="1" applyFont="1" applyFill="1" applyBorder="1" applyAlignment="1">
      <alignment horizontal="center" vertical="center"/>
    </xf>
    <xf numFmtId="1" fontId="103" fillId="3" borderId="1" xfId="2" applyNumberFormat="1" applyFont="1" applyFill="1" applyBorder="1" applyAlignment="1">
      <alignment horizontal="center" vertical="center"/>
    </xf>
    <xf numFmtId="169" fontId="0" fillId="3" borderId="25" xfId="0" applyNumberFormat="1" applyFill="1" applyBorder="1" applyAlignment="1">
      <alignment vertical="center"/>
    </xf>
    <xf numFmtId="166" fontId="0" fillId="11" borderId="12" xfId="0" applyNumberFormat="1" applyFill="1" applyBorder="1"/>
    <xf numFmtId="169" fontId="4" fillId="0" borderId="64" xfId="0" applyNumberFormat="1" applyFont="1" applyBorder="1" applyAlignment="1">
      <alignment vertical="center"/>
    </xf>
    <xf numFmtId="0" fontId="0" fillId="3" borderId="25" xfId="0" applyFill="1" applyBorder="1" applyAlignment="1">
      <alignment vertical="center"/>
    </xf>
    <xf numFmtId="0" fontId="0" fillId="11" borderId="25" xfId="0" applyFill="1" applyBorder="1" applyAlignment="1">
      <alignment vertical="center"/>
    </xf>
    <xf numFmtId="15" fontId="79" fillId="23" borderId="25" xfId="5" applyNumberFormat="1" applyFont="1" applyFill="1" applyBorder="1" applyAlignment="1">
      <alignment horizontal="left" vertical="center"/>
    </xf>
    <xf numFmtId="0" fontId="0" fillId="11" borderId="3" xfId="0" applyFill="1" applyBorder="1" applyAlignment="1">
      <alignment vertical="center" wrapText="1"/>
    </xf>
    <xf numFmtId="173" fontId="0" fillId="3" borderId="0" xfId="0" applyNumberFormat="1" applyFill="1" applyAlignment="1">
      <alignment vertical="center"/>
    </xf>
    <xf numFmtId="0" fontId="6" fillId="3" borderId="25" xfId="0" applyFont="1" applyFill="1" applyBorder="1" applyAlignment="1">
      <alignment vertical="center"/>
    </xf>
    <xf numFmtId="0" fontId="0" fillId="0" borderId="3" xfId="0" applyBorder="1" applyAlignment="1">
      <alignment vertical="center" wrapText="1"/>
    </xf>
    <xf numFmtId="0" fontId="16" fillId="11" borderId="0" xfId="0" applyFont="1" applyFill="1" applyAlignment="1">
      <alignment vertical="center"/>
    </xf>
    <xf numFmtId="0" fontId="16" fillId="11" borderId="25" xfId="0" applyFont="1" applyFill="1" applyBorder="1" applyAlignment="1">
      <alignment vertical="center"/>
    </xf>
    <xf numFmtId="0" fontId="6" fillId="3" borderId="25" xfId="0" applyFont="1" applyFill="1" applyBorder="1" applyAlignment="1">
      <alignment horizontal="left" vertical="center"/>
    </xf>
    <xf numFmtId="0" fontId="98" fillId="3" borderId="0" xfId="0" applyFont="1" applyFill="1"/>
    <xf numFmtId="0" fontId="42" fillId="9" borderId="0" xfId="0" applyFont="1" applyFill="1"/>
    <xf numFmtId="0" fontId="42" fillId="9" borderId="0" xfId="0" applyFont="1" applyFill="1" applyAlignment="1">
      <alignment horizontal="center"/>
    </xf>
    <xf numFmtId="0" fontId="44" fillId="10" borderId="0" xfId="0" applyFont="1" applyFill="1"/>
    <xf numFmtId="0" fontId="16" fillId="13" borderId="2" xfId="0" applyFont="1" applyFill="1" applyBorder="1" applyAlignment="1">
      <alignment vertical="center"/>
    </xf>
    <xf numFmtId="0" fontId="4" fillId="3" borderId="0" xfId="0" applyFont="1" applyFill="1" applyAlignment="1">
      <alignment wrapText="1"/>
    </xf>
    <xf numFmtId="169" fontId="19" fillId="3" borderId="0" xfId="0" applyNumberFormat="1" applyFont="1" applyFill="1"/>
    <xf numFmtId="0" fontId="0" fillId="3" borderId="30" xfId="0" applyFill="1" applyBorder="1" applyAlignment="1">
      <alignment wrapText="1"/>
    </xf>
    <xf numFmtId="0" fontId="48" fillId="22" borderId="10" xfId="0" applyFont="1" applyFill="1" applyBorder="1" applyAlignment="1">
      <alignment horizontal="left" vertical="top"/>
    </xf>
    <xf numFmtId="0" fontId="116" fillId="3" borderId="0" xfId="0" applyFont="1" applyFill="1"/>
    <xf numFmtId="182" fontId="77" fillId="24" borderId="11" xfId="5" quotePrefix="1" applyNumberFormat="1" applyFont="1" applyFill="1" applyBorder="1" applyAlignment="1">
      <alignment horizontal="left" vertical="center"/>
    </xf>
    <xf numFmtId="0" fontId="117" fillId="3" borderId="8" xfId="0" applyFont="1" applyFill="1" applyBorder="1" applyAlignment="1">
      <alignment horizontal="center" vertical="center"/>
    </xf>
    <xf numFmtId="0" fontId="117" fillId="3" borderId="1" xfId="0" applyFont="1" applyFill="1" applyBorder="1" applyAlignment="1">
      <alignment horizontal="centerContinuous"/>
    </xf>
    <xf numFmtId="0" fontId="117" fillId="3" borderId="4" xfId="0" applyFont="1" applyFill="1" applyBorder="1" applyAlignment="1">
      <alignment horizontal="centerContinuous"/>
    </xf>
    <xf numFmtId="0" fontId="70" fillId="3" borderId="1" xfId="0" applyFont="1" applyFill="1" applyBorder="1"/>
    <xf numFmtId="0" fontId="70" fillId="3" borderId="4" xfId="0" applyFont="1" applyFill="1" applyBorder="1"/>
    <xf numFmtId="0" fontId="70" fillId="3" borderId="2" xfId="0" applyFont="1" applyFill="1" applyBorder="1"/>
    <xf numFmtId="0" fontId="70" fillId="3" borderId="29" xfId="0" applyFont="1" applyFill="1" applyBorder="1"/>
    <xf numFmtId="0" fontId="70" fillId="3" borderId="8" xfId="0" applyFont="1" applyFill="1" applyBorder="1" applyAlignment="1">
      <alignment horizontal="center" vertical="center"/>
    </xf>
    <xf numFmtId="0" fontId="70" fillId="3" borderId="8" xfId="0" applyFont="1" applyFill="1" applyBorder="1" applyAlignment="1">
      <alignment horizontal="left" vertical="center"/>
    </xf>
    <xf numFmtId="0" fontId="70" fillId="3" borderId="29" xfId="0" applyFont="1" applyFill="1" applyBorder="1" applyAlignment="1">
      <alignment horizontal="left" vertical="center" wrapText="1"/>
    </xf>
    <xf numFmtId="168" fontId="118" fillId="3" borderId="8" xfId="4" applyNumberFormat="1" applyFont="1" applyFill="1" applyBorder="1" applyAlignment="1">
      <alignment vertical="center"/>
    </xf>
    <xf numFmtId="168" fontId="118" fillId="3" borderId="29" xfId="4" applyNumberFormat="1" applyFont="1" applyFill="1" applyBorder="1" applyAlignment="1">
      <alignment vertical="center"/>
    </xf>
    <xf numFmtId="168" fontId="118" fillId="3" borderId="24" xfId="4" applyNumberFormat="1" applyFont="1" applyFill="1" applyBorder="1" applyAlignment="1">
      <alignment vertical="center"/>
    </xf>
    <xf numFmtId="0" fontId="70" fillId="11" borderId="6" xfId="0" applyFont="1" applyFill="1" applyBorder="1" applyAlignment="1">
      <alignment horizontal="center" vertical="center"/>
    </xf>
    <xf numFmtId="0" fontId="70" fillId="11" borderId="6" xfId="0" applyFont="1" applyFill="1" applyBorder="1" applyAlignment="1">
      <alignment horizontal="left" vertical="center"/>
    </xf>
    <xf numFmtId="0" fontId="70" fillId="11" borderId="0" xfId="0" applyFont="1" applyFill="1" applyAlignment="1">
      <alignment horizontal="left" vertical="center"/>
    </xf>
    <xf numFmtId="168" fontId="118" fillId="11" borderId="6" xfId="4" applyNumberFormat="1" applyFont="1" applyFill="1" applyBorder="1" applyAlignment="1">
      <alignment vertical="center"/>
    </xf>
    <xf numFmtId="168" fontId="118" fillId="11" borderId="0" xfId="4" applyNumberFormat="1" applyFont="1" applyFill="1" applyBorder="1" applyAlignment="1">
      <alignment vertical="center"/>
    </xf>
    <xf numFmtId="168" fontId="118" fillId="11" borderId="25" xfId="4" applyNumberFormat="1" applyFont="1" applyFill="1" applyBorder="1" applyAlignment="1">
      <alignment vertical="center"/>
    </xf>
    <xf numFmtId="0" fontId="70" fillId="3" borderId="6" xfId="0" applyFont="1" applyFill="1" applyBorder="1" applyAlignment="1">
      <alignment horizontal="center" vertical="center"/>
    </xf>
    <xf numFmtId="0" fontId="70" fillId="3" borderId="6" xfId="0" applyFont="1" applyFill="1" applyBorder="1" applyAlignment="1">
      <alignment horizontal="left" vertical="center"/>
    </xf>
    <xf numFmtId="0" fontId="70" fillId="3" borderId="0" xfId="0" applyFont="1" applyFill="1" applyAlignment="1">
      <alignment horizontal="left" vertical="center"/>
    </xf>
    <xf numFmtId="168" fontId="118" fillId="3" borderId="6" xfId="4" applyNumberFormat="1" applyFont="1" applyFill="1" applyBorder="1" applyAlignment="1">
      <alignment vertical="center"/>
    </xf>
    <xf numFmtId="168" fontId="118" fillId="3" borderId="0" xfId="4" applyNumberFormat="1" applyFont="1" applyFill="1" applyBorder="1" applyAlignment="1">
      <alignment vertical="center"/>
    </xf>
    <xf numFmtId="168" fontId="118" fillId="3" borderId="25" xfId="4" applyNumberFormat="1" applyFont="1" applyFill="1" applyBorder="1" applyAlignment="1">
      <alignment vertical="center"/>
    </xf>
    <xf numFmtId="0" fontId="70" fillId="3" borderId="10" xfId="0" applyFont="1" applyFill="1" applyBorder="1" applyAlignment="1">
      <alignment horizontal="center" vertical="center"/>
    </xf>
    <xf numFmtId="0" fontId="70" fillId="3" borderId="10" xfId="0" applyFont="1" applyFill="1" applyBorder="1" applyAlignment="1">
      <alignment horizontal="left" vertical="center"/>
    </xf>
    <xf numFmtId="0" fontId="70" fillId="3" borderId="11" xfId="0" applyFont="1" applyFill="1" applyBorder="1" applyAlignment="1">
      <alignment horizontal="left" vertical="center" wrapText="1"/>
    </xf>
    <xf numFmtId="168" fontId="118" fillId="3" borderId="10" xfId="4" applyNumberFormat="1" applyFont="1" applyFill="1" applyBorder="1" applyAlignment="1">
      <alignment vertical="center"/>
    </xf>
    <xf numFmtId="168" fontId="118" fillId="3" borderId="11" xfId="4" applyNumberFormat="1" applyFont="1" applyFill="1" applyBorder="1" applyAlignment="1">
      <alignment vertical="center"/>
    </xf>
    <xf numFmtId="168" fontId="118" fillId="3" borderId="30" xfId="4" applyNumberFormat="1" applyFont="1" applyFill="1" applyBorder="1" applyAlignment="1">
      <alignment vertical="center"/>
    </xf>
    <xf numFmtId="0" fontId="70" fillId="3" borderId="1" xfId="0" applyFont="1" applyFill="1" applyBorder="1" applyAlignment="1">
      <alignment vertical="center"/>
    </xf>
    <xf numFmtId="0" fontId="70" fillId="3" borderId="11" xfId="0" applyFont="1" applyFill="1" applyBorder="1" applyAlignment="1">
      <alignment vertical="center"/>
    </xf>
    <xf numFmtId="0" fontId="70" fillId="3" borderId="0" xfId="0" applyFont="1" applyFill="1" applyAlignment="1">
      <alignment vertical="center"/>
    </xf>
    <xf numFmtId="0" fontId="70" fillId="11" borderId="8" xfId="0" applyFont="1" applyFill="1" applyBorder="1" applyAlignment="1">
      <alignment horizontal="center" vertical="center"/>
    </xf>
    <xf numFmtId="0" fontId="70" fillId="11" borderId="8" xfId="0" applyFont="1" applyFill="1" applyBorder="1" applyAlignment="1">
      <alignment horizontal="left" vertical="center"/>
    </xf>
    <xf numFmtId="168" fontId="119" fillId="11" borderId="8" xfId="4" applyNumberFormat="1" applyFont="1" applyFill="1" applyBorder="1" applyAlignment="1">
      <alignment vertical="center"/>
    </xf>
    <xf numFmtId="168" fontId="119" fillId="11" borderId="29" xfId="4" applyNumberFormat="1" applyFont="1" applyFill="1" applyBorder="1" applyAlignment="1">
      <alignment vertical="center"/>
    </xf>
    <xf numFmtId="168" fontId="119" fillId="11" borderId="24" xfId="4" applyNumberFormat="1" applyFont="1" applyFill="1" applyBorder="1" applyAlignment="1">
      <alignment vertical="center"/>
    </xf>
    <xf numFmtId="0" fontId="70" fillId="3" borderId="6" xfId="0" applyFont="1" applyFill="1" applyBorder="1" applyAlignment="1">
      <alignment horizontal="left"/>
    </xf>
    <xf numFmtId="0" fontId="70" fillId="3" borderId="6" xfId="0" applyFont="1" applyFill="1" applyBorder="1" applyAlignment="1">
      <alignment horizontal="center"/>
    </xf>
    <xf numFmtId="168" fontId="119" fillId="3" borderId="6" xfId="4" applyNumberFormat="1" applyFont="1" applyFill="1" applyBorder="1" applyAlignment="1">
      <alignment vertical="center"/>
    </xf>
    <xf numFmtId="168" fontId="119" fillId="3" borderId="0" xfId="4" applyNumberFormat="1" applyFont="1" applyFill="1" applyBorder="1" applyAlignment="1">
      <alignment vertical="center"/>
    </xf>
    <xf numFmtId="168" fontId="119" fillId="3" borderId="25" xfId="4" applyNumberFormat="1" applyFont="1" applyFill="1" applyBorder="1" applyAlignment="1">
      <alignment vertical="center"/>
    </xf>
    <xf numFmtId="0" fontId="70" fillId="11" borderId="6" xfId="0" applyFont="1" applyFill="1" applyBorder="1" applyAlignment="1">
      <alignment horizontal="left"/>
    </xf>
    <xf numFmtId="0" fontId="70" fillId="11" borderId="6" xfId="0" applyFont="1" applyFill="1" applyBorder="1" applyAlignment="1">
      <alignment horizontal="center"/>
    </xf>
    <xf numFmtId="168" fontId="119" fillId="11" borderId="6" xfId="4" applyNumberFormat="1" applyFont="1" applyFill="1" applyBorder="1" applyAlignment="1">
      <alignment vertical="center"/>
    </xf>
    <xf numFmtId="168" fontId="119" fillId="11" borderId="0" xfId="4" applyNumberFormat="1" applyFont="1" applyFill="1" applyBorder="1" applyAlignment="1">
      <alignment vertical="center"/>
    </xf>
    <xf numFmtId="168" fontId="119" fillId="11" borderId="25" xfId="4" applyNumberFormat="1" applyFont="1" applyFill="1" applyBorder="1" applyAlignment="1">
      <alignment vertical="center"/>
    </xf>
    <xf numFmtId="0" fontId="70" fillId="11" borderId="10" xfId="0" applyFont="1" applyFill="1" applyBorder="1" applyAlignment="1">
      <alignment horizontal="center" vertical="center"/>
    </xf>
    <xf numFmtId="0" fontId="70" fillId="11" borderId="10" xfId="0" applyFont="1" applyFill="1" applyBorder="1" applyAlignment="1">
      <alignment horizontal="left"/>
    </xf>
    <xf numFmtId="0" fontId="70" fillId="11" borderId="10" xfId="0" applyFont="1" applyFill="1" applyBorder="1" applyAlignment="1">
      <alignment horizontal="center"/>
    </xf>
    <xf numFmtId="168" fontId="119" fillId="11" borderId="10" xfId="4" applyNumberFormat="1" applyFont="1" applyFill="1" applyBorder="1" applyAlignment="1">
      <alignment vertical="center"/>
    </xf>
    <xf numFmtId="168" fontId="119" fillId="11" borderId="11" xfId="4" applyNumberFormat="1" applyFont="1" applyFill="1" applyBorder="1" applyAlignment="1">
      <alignment vertical="center"/>
    </xf>
    <xf numFmtId="168" fontId="119" fillId="11" borderId="30" xfId="4" applyNumberFormat="1" applyFont="1" applyFill="1" applyBorder="1" applyAlignment="1">
      <alignment vertical="center"/>
    </xf>
    <xf numFmtId="0" fontId="120" fillId="3" borderId="0" xfId="0" applyFont="1" applyFill="1"/>
    <xf numFmtId="0" fontId="117" fillId="3" borderId="1" xfId="0" applyFont="1" applyFill="1" applyBorder="1" applyAlignment="1">
      <alignment horizontal="centerContinuous" vertical="center" wrapText="1"/>
    </xf>
    <xf numFmtId="0" fontId="70" fillId="3" borderId="4" xfId="0" applyFont="1" applyFill="1" applyBorder="1" applyAlignment="1">
      <alignment horizontal="centerContinuous" vertical="center"/>
    </xf>
    <xf numFmtId="0" fontId="70" fillId="3" borderId="2" xfId="0" applyFont="1" applyFill="1" applyBorder="1" applyAlignment="1">
      <alignment horizontal="centerContinuous" vertical="center"/>
    </xf>
    <xf numFmtId="0" fontId="70" fillId="3" borderId="29" xfId="0" applyFont="1" applyFill="1" applyBorder="1" applyAlignment="1">
      <alignment horizontal="centerContinuous" vertical="center"/>
    </xf>
    <xf numFmtId="0" fontId="70" fillId="3" borderId="24" xfId="0" applyFont="1" applyFill="1" applyBorder="1" applyAlignment="1">
      <alignment horizontal="centerContinuous" vertical="center"/>
    </xf>
    <xf numFmtId="0" fontId="70" fillId="3" borderId="8" xfId="0" applyFont="1" applyFill="1" applyBorder="1"/>
    <xf numFmtId="169" fontId="118" fillId="11" borderId="8" xfId="4" applyNumberFormat="1" applyFont="1" applyFill="1" applyBorder="1" applyAlignment="1">
      <alignment vertical="center"/>
    </xf>
    <xf numFmtId="169" fontId="118" fillId="11" borderId="0" xfId="4" applyNumberFormat="1" applyFont="1" applyFill="1" applyBorder="1" applyAlignment="1">
      <alignment vertical="center"/>
    </xf>
    <xf numFmtId="169" fontId="118" fillId="11" borderId="25" xfId="4" applyNumberFormat="1" applyFont="1" applyFill="1" applyBorder="1" applyAlignment="1">
      <alignment vertical="center"/>
    </xf>
    <xf numFmtId="169" fontId="118" fillId="3" borderId="6" xfId="4" applyNumberFormat="1" applyFont="1" applyFill="1" applyBorder="1" applyAlignment="1">
      <alignment vertical="center"/>
    </xf>
    <xf numFmtId="169" fontId="118" fillId="3" borderId="0" xfId="4" applyNumberFormat="1" applyFont="1" applyFill="1" applyBorder="1" applyAlignment="1">
      <alignment vertical="center"/>
    </xf>
    <xf numFmtId="169" fontId="118" fillId="3" borderId="25" xfId="4" applyNumberFormat="1" applyFont="1" applyFill="1" applyBorder="1" applyAlignment="1">
      <alignment vertical="center"/>
    </xf>
    <xf numFmtId="169" fontId="118" fillId="11" borderId="6" xfId="4" applyNumberFormat="1" applyFont="1" applyFill="1" applyBorder="1" applyAlignment="1">
      <alignment vertical="center"/>
    </xf>
    <xf numFmtId="169" fontId="118" fillId="11" borderId="10" xfId="4" applyNumberFormat="1" applyFont="1" applyFill="1" applyBorder="1" applyAlignment="1">
      <alignment vertical="center"/>
    </xf>
    <xf numFmtId="169" fontId="118" fillId="11" borderId="11" xfId="4" applyNumberFormat="1" applyFont="1" applyFill="1" applyBorder="1" applyAlignment="1">
      <alignment vertical="center"/>
    </xf>
    <xf numFmtId="169" fontId="118" fillId="11" borderId="30" xfId="4" applyNumberFormat="1" applyFont="1" applyFill="1" applyBorder="1" applyAlignment="1">
      <alignment vertical="center"/>
    </xf>
    <xf numFmtId="0" fontId="117" fillId="6" borderId="1" xfId="0" applyFont="1" applyFill="1" applyBorder="1" applyAlignment="1">
      <alignment vertical="center" wrapText="1"/>
    </xf>
    <xf numFmtId="0" fontId="117" fillId="6" borderId="11" xfId="0" applyFont="1" applyFill="1" applyBorder="1" applyAlignment="1">
      <alignment vertical="center" wrapText="1"/>
    </xf>
    <xf numFmtId="169" fontId="117" fillId="6" borderId="1" xfId="0" applyNumberFormat="1" applyFont="1" applyFill="1" applyBorder="1" applyAlignment="1">
      <alignment vertical="center"/>
    </xf>
    <xf numFmtId="169" fontId="117" fillId="6" borderId="4" xfId="4" applyNumberFormat="1" applyFont="1" applyFill="1" applyBorder="1" applyAlignment="1">
      <alignment vertical="center"/>
    </xf>
    <xf numFmtId="169" fontId="117" fillId="6" borderId="2" xfId="4" applyNumberFormat="1" applyFont="1" applyFill="1" applyBorder="1" applyAlignment="1">
      <alignment vertical="center"/>
    </xf>
    <xf numFmtId="0" fontId="117" fillId="3" borderId="1" xfId="0" applyFont="1" applyFill="1" applyBorder="1" applyAlignment="1">
      <alignment vertical="center"/>
    </xf>
    <xf numFmtId="0" fontId="117" fillId="3" borderId="4" xfId="0" applyFont="1" applyFill="1" applyBorder="1" applyAlignment="1">
      <alignment vertical="center" wrapText="1"/>
    </xf>
    <xf numFmtId="0" fontId="117" fillId="3" borderId="2" xfId="0" applyFont="1" applyFill="1" applyBorder="1" applyAlignment="1">
      <alignment vertical="center" wrapText="1"/>
    </xf>
    <xf numFmtId="0" fontId="70" fillId="11" borderId="8" xfId="0" applyFont="1" applyFill="1" applyBorder="1" applyAlignment="1">
      <alignment horizontal="center"/>
    </xf>
    <xf numFmtId="0" fontId="70" fillId="25" borderId="8" xfId="0" applyFont="1" applyFill="1" applyBorder="1" applyAlignment="1">
      <alignment horizontal="center" vertical="center" wrapText="1"/>
    </xf>
    <xf numFmtId="0" fontId="70" fillId="25" borderId="29" xfId="0" applyFont="1" applyFill="1" applyBorder="1" applyAlignment="1">
      <alignment horizontal="center" vertical="center" wrapText="1"/>
    </xf>
    <xf numFmtId="169" fontId="70" fillId="11" borderId="8" xfId="4" applyNumberFormat="1" applyFont="1" applyFill="1" applyBorder="1" applyAlignment="1">
      <alignment vertical="center"/>
    </xf>
    <xf numFmtId="169" fontId="70" fillId="11" borderId="29" xfId="4" applyNumberFormat="1" applyFont="1" applyFill="1" applyBorder="1" applyAlignment="1">
      <alignment vertical="center"/>
    </xf>
    <xf numFmtId="169" fontId="70" fillId="11" borderId="24" xfId="4" applyNumberFormat="1" applyFont="1" applyFill="1" applyBorder="1" applyAlignment="1">
      <alignment vertical="center"/>
    </xf>
    <xf numFmtId="0" fontId="70" fillId="5" borderId="6" xfId="0" applyFont="1" applyFill="1" applyBorder="1" applyAlignment="1">
      <alignment horizontal="center" vertical="center"/>
    </xf>
    <xf numFmtId="0" fontId="70" fillId="5" borderId="0" xfId="0" applyFont="1" applyFill="1" applyAlignment="1">
      <alignment horizontal="center" vertical="center"/>
    </xf>
    <xf numFmtId="169" fontId="70" fillId="3" borderId="6" xfId="4" applyNumberFormat="1" applyFont="1" applyFill="1" applyBorder="1" applyAlignment="1">
      <alignment vertical="center"/>
    </xf>
    <xf numFmtId="169" fontId="70" fillId="3" borderId="0" xfId="4" applyNumberFormat="1" applyFont="1" applyFill="1" applyBorder="1" applyAlignment="1">
      <alignment vertical="center"/>
    </xf>
    <xf numFmtId="169" fontId="70" fillId="3" borderId="25" xfId="4" applyNumberFormat="1" applyFont="1" applyFill="1" applyBorder="1" applyAlignment="1">
      <alignment vertical="center"/>
    </xf>
    <xf numFmtId="0" fontId="70" fillId="25" borderId="6" xfId="0" applyFont="1" applyFill="1" applyBorder="1" applyAlignment="1">
      <alignment horizontal="center" vertical="center" wrapText="1"/>
    </xf>
    <xf numFmtId="0" fontId="70" fillId="25" borderId="0" xfId="0" applyFont="1" applyFill="1" applyAlignment="1">
      <alignment horizontal="center" vertical="center" wrapText="1"/>
    </xf>
    <xf numFmtId="169" fontId="70" fillId="11" borderId="6" xfId="4" applyNumberFormat="1" applyFont="1" applyFill="1" applyBorder="1" applyAlignment="1">
      <alignment vertical="center"/>
    </xf>
    <xf numFmtId="169" fontId="70" fillId="11" borderId="0" xfId="4" applyNumberFormat="1" applyFont="1" applyFill="1" applyBorder="1" applyAlignment="1">
      <alignment vertical="center"/>
    </xf>
    <xf numFmtId="169" fontId="70" fillId="11" borderId="25" xfId="4" applyNumberFormat="1" applyFont="1" applyFill="1" applyBorder="1" applyAlignment="1">
      <alignment vertical="center"/>
    </xf>
    <xf numFmtId="0" fontId="70" fillId="25" borderId="11" xfId="0" applyFont="1" applyFill="1" applyBorder="1" applyAlignment="1">
      <alignment horizontal="center" vertical="center" wrapText="1"/>
    </xf>
    <xf numFmtId="169" fontId="70" fillId="11" borderId="10" xfId="4" applyNumberFormat="1" applyFont="1" applyFill="1" applyBorder="1" applyAlignment="1">
      <alignment vertical="center"/>
    </xf>
    <xf numFmtId="169" fontId="70" fillId="11" borderId="11" xfId="4" applyNumberFormat="1" applyFont="1" applyFill="1" applyBorder="1" applyAlignment="1">
      <alignment vertical="center"/>
    </xf>
    <xf numFmtId="169" fontId="70" fillId="11" borderId="30" xfId="4" applyNumberFormat="1" applyFont="1" applyFill="1" applyBorder="1" applyAlignment="1">
      <alignment vertical="center"/>
    </xf>
    <xf numFmtId="0" fontId="117" fillId="3" borderId="1" xfId="0" applyFont="1" applyFill="1" applyBorder="1" applyAlignment="1">
      <alignment vertical="center" wrapText="1"/>
    </xf>
    <xf numFmtId="0" fontId="117" fillId="3" borderId="4" xfId="0" applyFont="1" applyFill="1" applyBorder="1" applyAlignment="1">
      <alignment horizontal="center" vertical="center" wrapText="1"/>
    </xf>
    <xf numFmtId="0" fontId="117" fillId="3" borderId="11" xfId="0" applyFont="1" applyFill="1" applyBorder="1" applyAlignment="1">
      <alignment horizontal="center" vertical="center" wrapText="1"/>
    </xf>
    <xf numFmtId="169" fontId="117" fillId="3" borderId="8" xfId="0" applyNumberFormat="1" applyFont="1" applyFill="1" applyBorder="1" applyAlignment="1">
      <alignment vertical="center"/>
    </xf>
    <xf numFmtId="169" fontId="117" fillId="3" borderId="29" xfId="4" applyNumberFormat="1" applyFont="1" applyFill="1" applyBorder="1" applyAlignment="1">
      <alignment vertical="center"/>
    </xf>
    <xf numFmtId="169" fontId="117" fillId="3" borderId="24" xfId="4" applyNumberFormat="1" applyFont="1" applyFill="1" applyBorder="1" applyAlignment="1">
      <alignment vertical="center"/>
    </xf>
    <xf numFmtId="0" fontId="117" fillId="11" borderId="1" xfId="0" applyFont="1" applyFill="1" applyBorder="1" applyAlignment="1">
      <alignment vertical="center"/>
    </xf>
    <xf numFmtId="0" fontId="117" fillId="11" borderId="4" xfId="0" applyFont="1" applyFill="1" applyBorder="1" applyAlignment="1">
      <alignment vertical="center"/>
    </xf>
    <xf numFmtId="169" fontId="117" fillId="11" borderId="1" xfId="0" applyNumberFormat="1" applyFont="1" applyFill="1" applyBorder="1" applyAlignment="1">
      <alignment vertical="center"/>
    </xf>
    <xf numFmtId="169" fontId="117" fillId="11" borderId="4" xfId="0" applyNumberFormat="1" applyFont="1" applyFill="1" applyBorder="1" applyAlignment="1">
      <alignment vertical="center"/>
    </xf>
    <xf numFmtId="169" fontId="117" fillId="11" borderId="2" xfId="0" applyNumberFormat="1" applyFont="1" applyFill="1" applyBorder="1" applyAlignment="1">
      <alignment vertical="center"/>
    </xf>
    <xf numFmtId="182" fontId="69" fillId="24" borderId="11" xfId="5" quotePrefix="1" applyNumberFormat="1" applyFont="1" applyFill="1" applyBorder="1" applyAlignment="1">
      <alignment horizontal="left" vertical="center"/>
    </xf>
    <xf numFmtId="182" fontId="69" fillId="24" borderId="0" xfId="5" quotePrefix="1" applyNumberFormat="1" applyFont="1" applyFill="1" applyBorder="1" applyAlignment="1">
      <alignment horizontal="left" vertical="center"/>
    </xf>
    <xf numFmtId="0" fontId="76" fillId="23" borderId="10" xfId="5" applyFont="1" applyFill="1" applyBorder="1" applyAlignment="1">
      <alignment horizontal="left" vertical="center"/>
    </xf>
    <xf numFmtId="0" fontId="76" fillId="23" borderId="11" xfId="5" applyFont="1" applyFill="1" applyBorder="1" applyAlignment="1">
      <alignment horizontal="left" vertical="center"/>
    </xf>
    <xf numFmtId="0" fontId="76" fillId="23" borderId="30" xfId="5" applyFont="1" applyFill="1" applyBorder="1" applyAlignment="1">
      <alignment horizontal="left" vertical="center"/>
    </xf>
    <xf numFmtId="169" fontId="4" fillId="6" borderId="1" xfId="4" applyNumberFormat="1" applyFont="1" applyFill="1" applyBorder="1" applyAlignment="1">
      <alignment vertical="center"/>
    </xf>
    <xf numFmtId="169" fontId="4" fillId="6" borderId="4" xfId="4" applyNumberFormat="1" applyFont="1" applyFill="1" applyBorder="1" applyAlignment="1">
      <alignment vertical="center"/>
    </xf>
    <xf numFmtId="169" fontId="4" fillId="6" borderId="2" xfId="4" applyNumberFormat="1" applyFont="1" applyFill="1" applyBorder="1" applyAlignment="1">
      <alignment vertical="center"/>
    </xf>
    <xf numFmtId="0" fontId="121" fillId="3" borderId="0" xfId="0" applyFont="1" applyFill="1"/>
    <xf numFmtId="182" fontId="69" fillId="24" borderId="11" xfId="5" quotePrefix="1" applyNumberFormat="1" applyFont="1" applyFill="1" applyBorder="1" applyAlignment="1">
      <alignment horizontal="right" vertical="center"/>
    </xf>
    <xf numFmtId="0" fontId="65" fillId="22" borderId="0" xfId="0" applyFont="1" applyFill="1" applyAlignment="1">
      <alignment horizontal="right" vertical="center"/>
    </xf>
    <xf numFmtId="183" fontId="65" fillId="22" borderId="0" xfId="0" applyNumberFormat="1" applyFont="1" applyFill="1" applyAlignment="1">
      <alignment horizontal="left" vertical="center"/>
    </xf>
    <xf numFmtId="183" fontId="106" fillId="22" borderId="0" xfId="0" applyNumberFormat="1" applyFont="1" applyFill="1" applyAlignment="1">
      <alignment horizontal="left" vertical="center"/>
    </xf>
    <xf numFmtId="169" fontId="4" fillId="6" borderId="36" xfId="0" applyNumberFormat="1" applyFont="1" applyFill="1" applyBorder="1" applyAlignment="1">
      <alignment vertical="center"/>
    </xf>
    <xf numFmtId="169" fontId="4" fillId="3" borderId="36" xfId="4" applyNumberFormat="1" applyFont="1" applyFill="1" applyBorder="1" applyAlignment="1">
      <alignment vertical="center"/>
    </xf>
    <xf numFmtId="0" fontId="0" fillId="6" borderId="11" xfId="0" applyFill="1" applyBorder="1"/>
    <xf numFmtId="170" fontId="0" fillId="11" borderId="9" xfId="0" applyNumberFormat="1" applyFill="1" applyBorder="1" applyAlignment="1">
      <alignment horizontal="left" vertical="center"/>
    </xf>
    <xf numFmtId="170" fontId="0" fillId="11" borderId="9" xfId="0" applyNumberFormat="1" applyFill="1" applyBorder="1" applyAlignment="1">
      <alignment horizontal="left" vertical="center" wrapText="1"/>
    </xf>
    <xf numFmtId="170" fontId="4" fillId="3" borderId="9" xfId="0" applyNumberFormat="1" applyFont="1" applyFill="1" applyBorder="1" applyAlignment="1">
      <alignment horizontal="right" vertical="center"/>
    </xf>
    <xf numFmtId="0" fontId="20" fillId="25" borderId="12" xfId="0" applyFont="1" applyFill="1" applyBorder="1" applyAlignment="1">
      <alignment horizontal="center" vertical="center"/>
    </xf>
    <xf numFmtId="168" fontId="1" fillId="5" borderId="7" xfId="4" applyNumberFormat="1" applyFont="1" applyFill="1" applyBorder="1" applyAlignment="1">
      <alignment vertical="center"/>
    </xf>
    <xf numFmtId="170" fontId="4" fillId="6" borderId="3" xfId="0" applyNumberFormat="1" applyFont="1" applyFill="1" applyBorder="1" applyAlignment="1">
      <alignment horizontal="right" vertical="center"/>
    </xf>
    <xf numFmtId="182" fontId="106" fillId="24" borderId="11" xfId="5" quotePrefix="1" applyNumberFormat="1" applyFont="1" applyFill="1" applyBorder="1" applyAlignment="1">
      <alignment horizontal="left" vertical="center"/>
    </xf>
    <xf numFmtId="0" fontId="106" fillId="23" borderId="0" xfId="5" applyFont="1" applyFill="1" applyAlignment="1">
      <alignment horizontal="right" vertical="center"/>
    </xf>
    <xf numFmtId="0" fontId="120" fillId="3" borderId="0" xfId="0" applyFont="1" applyFill="1" applyAlignment="1">
      <alignment horizontal="center"/>
    </xf>
    <xf numFmtId="0" fontId="6" fillId="3" borderId="11" xfId="0" applyFont="1" applyFill="1" applyBorder="1" applyAlignment="1">
      <alignment horizontal="centerContinuous" vertical="center" wrapText="1"/>
    </xf>
    <xf numFmtId="0" fontId="6" fillId="3" borderId="11" xfId="0" applyFont="1" applyFill="1" applyBorder="1" applyAlignment="1">
      <alignment horizontal="center" vertical="center"/>
    </xf>
    <xf numFmtId="0" fontId="6" fillId="3" borderId="11" xfId="0" applyFont="1" applyFill="1" applyBorder="1" applyAlignment="1">
      <alignment horizontal="left" vertical="center"/>
    </xf>
    <xf numFmtId="0" fontId="47" fillId="3" borderId="0" xfId="0" applyFont="1" applyFill="1"/>
    <xf numFmtId="0" fontId="0" fillId="0" borderId="6" xfId="0" applyBorder="1" applyAlignment="1">
      <alignment wrapText="1"/>
    </xf>
    <xf numFmtId="0" fontId="0" fillId="11" borderId="25" xfId="0" applyFill="1" applyBorder="1" applyAlignment="1">
      <alignment vertical="center" wrapText="1"/>
    </xf>
    <xf numFmtId="0" fontId="0" fillId="3" borderId="25" xfId="0" applyFill="1" applyBorder="1" applyAlignment="1">
      <alignment vertical="center" wrapText="1"/>
    </xf>
    <xf numFmtId="0" fontId="4" fillId="3" borderId="2" xfId="0" applyFont="1" applyFill="1" applyBorder="1" applyAlignment="1">
      <alignment wrapText="1"/>
    </xf>
    <xf numFmtId="0" fontId="4" fillId="6" borderId="4" xfId="0" applyFont="1" applyFill="1" applyBorder="1" applyAlignment="1">
      <alignment vertical="center"/>
    </xf>
    <xf numFmtId="0" fontId="4" fillId="6" borderId="2" xfId="0" applyFont="1" applyFill="1" applyBorder="1" applyAlignment="1">
      <alignment vertical="center"/>
    </xf>
    <xf numFmtId="168" fontId="1" fillId="3" borderId="7" xfId="4" applyNumberFormat="1" applyFont="1" applyFill="1" applyBorder="1" applyAlignment="1">
      <alignment horizontal="right" vertical="center"/>
    </xf>
    <xf numFmtId="169" fontId="1" fillId="11" borderId="9" xfId="4" applyNumberFormat="1" applyFont="1" applyFill="1" applyBorder="1" applyAlignment="1">
      <alignment vertical="center"/>
    </xf>
    <xf numFmtId="169" fontId="1" fillId="3" borderId="9" xfId="4" applyNumberFormat="1" applyFont="1" applyFill="1" applyBorder="1" applyAlignment="1">
      <alignment vertical="center"/>
    </xf>
    <xf numFmtId="169" fontId="4" fillId="11" borderId="9" xfId="0" applyNumberFormat="1" applyFont="1" applyFill="1" applyBorder="1" applyAlignment="1">
      <alignment horizontal="right" vertical="center"/>
    </xf>
    <xf numFmtId="0" fontId="22" fillId="3" borderId="5" xfId="0" applyFont="1" applyFill="1" applyBorder="1" applyAlignment="1">
      <alignment horizontal="right" wrapText="1"/>
    </xf>
    <xf numFmtId="177" fontId="4" fillId="3" borderId="7" xfId="1" applyNumberFormat="1" applyFont="1" applyFill="1" applyBorder="1" applyAlignment="1">
      <alignment horizontal="right" wrapText="1"/>
    </xf>
    <xf numFmtId="0" fontId="5" fillId="3" borderId="3" xfId="0" applyFont="1" applyFill="1" applyBorder="1" applyAlignment="1">
      <alignment horizontal="center"/>
    </xf>
    <xf numFmtId="169" fontId="122" fillId="3" borderId="2" xfId="0" applyNumberFormat="1" applyFont="1" applyFill="1" applyBorder="1" applyAlignment="1">
      <alignment vertical="center"/>
    </xf>
    <xf numFmtId="0" fontId="69" fillId="22" borderId="0" xfId="0" applyFont="1" applyFill="1" applyAlignment="1">
      <alignment horizontal="right" vertical="center"/>
    </xf>
    <xf numFmtId="183" fontId="69" fillId="22" borderId="0" xfId="0" applyNumberFormat="1" applyFont="1" applyFill="1" applyAlignment="1">
      <alignment vertical="center"/>
    </xf>
    <xf numFmtId="0" fontId="20" fillId="25" borderId="10" xfId="0" applyFont="1" applyFill="1" applyBorder="1" applyAlignment="1">
      <alignment horizontal="center" vertical="center"/>
    </xf>
    <xf numFmtId="169" fontId="4" fillId="3" borderId="9" xfId="4" applyNumberFormat="1" applyFont="1" applyFill="1" applyBorder="1" applyAlignment="1">
      <alignment vertical="center"/>
    </xf>
    <xf numFmtId="169" fontId="4" fillId="11" borderId="12" xfId="0" applyNumberFormat="1" applyFont="1" applyFill="1" applyBorder="1" applyAlignment="1">
      <alignment horizontal="right" vertical="center"/>
    </xf>
    <xf numFmtId="170" fontId="0" fillId="11" borderId="9" xfId="0" applyNumberFormat="1" applyFill="1" applyBorder="1" applyAlignment="1">
      <alignment horizontal="center" vertical="center"/>
    </xf>
    <xf numFmtId="0" fontId="0" fillId="3" borderId="6" xfId="0" applyFill="1" applyBorder="1" applyAlignment="1">
      <alignment horizontal="center" vertical="center"/>
    </xf>
    <xf numFmtId="0" fontId="4" fillId="3" borderId="2" xfId="0" applyFont="1" applyFill="1" applyBorder="1" applyAlignment="1">
      <alignment horizontal="center" wrapText="1"/>
    </xf>
    <xf numFmtId="0" fontId="0" fillId="3" borderId="24" xfId="0" applyFill="1" applyBorder="1" applyAlignment="1">
      <alignment horizontal="center" vertical="center"/>
    </xf>
    <xf numFmtId="0" fontId="0" fillId="11" borderId="25" xfId="0" applyFill="1" applyBorder="1" applyAlignment="1">
      <alignment horizontal="center" vertical="center"/>
    </xf>
    <xf numFmtId="0" fontId="0" fillId="3" borderId="25" xfId="0" applyFill="1" applyBorder="1" applyAlignment="1">
      <alignment horizontal="center" vertical="center"/>
    </xf>
    <xf numFmtId="9" fontId="120" fillId="11" borderId="9" xfId="2" applyFont="1" applyFill="1" applyBorder="1" applyAlignment="1">
      <alignment horizontal="center" vertical="center"/>
    </xf>
    <xf numFmtId="9" fontId="120" fillId="11" borderId="6" xfId="2" applyFont="1" applyFill="1" applyBorder="1" applyAlignment="1">
      <alignment horizontal="right" vertical="center"/>
    </xf>
    <xf numFmtId="10" fontId="120" fillId="11" borderId="9" xfId="2" applyNumberFormat="1" applyFont="1" applyFill="1" applyBorder="1" applyAlignment="1">
      <alignment horizontal="center" vertical="center"/>
    </xf>
    <xf numFmtId="169" fontId="4" fillId="3" borderId="25" xfId="4" applyNumberFormat="1" applyFont="1" applyFill="1" applyBorder="1" applyAlignment="1">
      <alignment vertical="center"/>
    </xf>
    <xf numFmtId="0" fontId="20" fillId="5" borderId="9" xfId="0" applyFont="1" applyFill="1" applyBorder="1" applyAlignment="1">
      <alignment horizontal="center" vertical="center"/>
    </xf>
    <xf numFmtId="169" fontId="10" fillId="11" borderId="6" xfId="4" applyNumberFormat="1" applyFont="1" applyFill="1" applyBorder="1" applyAlignment="1">
      <alignment vertical="center"/>
    </xf>
    <xf numFmtId="169" fontId="10" fillId="11" borderId="9" xfId="4" applyNumberFormat="1" applyFont="1" applyFill="1" applyBorder="1" applyAlignment="1">
      <alignment vertical="center"/>
    </xf>
    <xf numFmtId="0" fontId="4" fillId="3" borderId="6" xfId="0" applyFont="1" applyFill="1" applyBorder="1" applyAlignment="1">
      <alignment vertical="center"/>
    </xf>
    <xf numFmtId="169" fontId="0" fillId="3" borderId="30" xfId="0" applyNumberFormat="1" applyFill="1" applyBorder="1" applyAlignment="1">
      <alignment vertical="center"/>
    </xf>
    <xf numFmtId="0" fontId="21" fillId="25" borderId="9" xfId="0" applyFont="1" applyFill="1" applyBorder="1"/>
    <xf numFmtId="0" fontId="21" fillId="5" borderId="12" xfId="0" applyFont="1" applyFill="1" applyBorder="1"/>
    <xf numFmtId="169" fontId="47" fillId="11" borderId="6" xfId="4" applyNumberFormat="1" applyFont="1" applyFill="1" applyBorder="1" applyAlignment="1">
      <alignment vertical="center"/>
    </xf>
    <xf numFmtId="169" fontId="47" fillId="11" borderId="10" xfId="4" applyNumberFormat="1" applyFont="1" applyFill="1" applyBorder="1" applyAlignment="1">
      <alignment vertical="center"/>
    </xf>
    <xf numFmtId="9" fontId="0" fillId="3" borderId="0" xfId="2" applyFont="1" applyFill="1" applyAlignment="1">
      <alignment horizontal="center" vertical="center"/>
    </xf>
    <xf numFmtId="0" fontId="4" fillId="3" borderId="3" xfId="0" applyFont="1" applyFill="1" applyBorder="1" applyAlignment="1">
      <alignment horizontal="center" wrapText="1"/>
    </xf>
    <xf numFmtId="172" fontId="10" fillId="3" borderId="8" xfId="0" applyNumberFormat="1" applyFont="1" applyFill="1" applyBorder="1"/>
    <xf numFmtId="10" fontId="20" fillId="3" borderId="24" xfId="0" applyNumberFormat="1" applyFont="1" applyFill="1" applyBorder="1"/>
    <xf numFmtId="169" fontId="0" fillId="3" borderId="25" xfId="0" applyNumberFormat="1" applyFill="1" applyBorder="1"/>
    <xf numFmtId="0" fontId="4" fillId="3" borderId="8"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Font="1" applyFill="1" applyBorder="1" applyAlignment="1">
      <alignment horizontal="center" vertical="center" wrapText="1"/>
    </xf>
    <xf numFmtId="0" fontId="18" fillId="3" borderId="33" xfId="0" applyFont="1" applyFill="1" applyBorder="1" applyAlignment="1">
      <alignment horizontal="center" vertical="center" wrapText="1"/>
    </xf>
    <xf numFmtId="0" fontId="110" fillId="9" borderId="8" xfId="0" applyFont="1" applyFill="1" applyBorder="1" applyAlignment="1">
      <alignment vertical="center" wrapText="1"/>
    </xf>
    <xf numFmtId="0" fontId="110" fillId="9" borderId="7" xfId="0" applyFont="1" applyFill="1" applyBorder="1" applyAlignment="1">
      <alignment vertical="center" wrapText="1"/>
    </xf>
    <xf numFmtId="0" fontId="111" fillId="9" borderId="35" xfId="0" applyFont="1" applyFill="1" applyBorder="1" applyAlignment="1">
      <alignment horizontal="center" vertical="center" wrapText="1"/>
    </xf>
    <xf numFmtId="0" fontId="110" fillId="9" borderId="30" xfId="0" applyFont="1" applyFill="1" applyBorder="1" applyAlignment="1">
      <alignment horizontal="center" vertical="center" wrapText="1"/>
    </xf>
    <xf numFmtId="0" fontId="0" fillId="3" borderId="3" xfId="0" applyFill="1" applyBorder="1" applyAlignment="1">
      <alignment horizontal="right"/>
    </xf>
    <xf numFmtId="0" fontId="19" fillId="3" borderId="34" xfId="0" applyFont="1" applyFill="1" applyBorder="1" applyAlignment="1">
      <alignment horizontal="right"/>
    </xf>
    <xf numFmtId="0" fontId="0" fillId="3" borderId="34" xfId="0" applyFill="1" applyBorder="1" applyAlignment="1">
      <alignment horizontal="right"/>
    </xf>
    <xf numFmtId="0" fontId="67" fillId="9" borderId="2" xfId="0" applyFont="1" applyFill="1" applyBorder="1" applyAlignment="1">
      <alignment horizontal="right"/>
    </xf>
    <xf numFmtId="0" fontId="112" fillId="9" borderId="34" xfId="0" applyFont="1" applyFill="1" applyBorder="1" applyAlignment="1">
      <alignment horizontal="right"/>
    </xf>
    <xf numFmtId="0" fontId="67" fillId="9" borderId="36" xfId="0" applyFont="1" applyFill="1" applyBorder="1" applyAlignment="1">
      <alignment horizontal="right"/>
    </xf>
    <xf numFmtId="0" fontId="110" fillId="9" borderId="24" xfId="0" applyFont="1" applyFill="1" applyBorder="1" applyAlignment="1">
      <alignment horizontal="center" vertical="center" wrapText="1"/>
    </xf>
    <xf numFmtId="0" fontId="67" fillId="9" borderId="2" xfId="0" applyFont="1" applyFill="1" applyBorder="1" applyAlignment="1">
      <alignment horizontal="center"/>
    </xf>
    <xf numFmtId="0" fontId="67" fillId="9" borderId="25" xfId="0" applyFont="1" applyFill="1" applyBorder="1" applyAlignment="1">
      <alignment horizontal="center"/>
    </xf>
    <xf numFmtId="0" fontId="67" fillId="12" borderId="25" xfId="0" applyFont="1" applyFill="1" applyBorder="1" applyAlignment="1">
      <alignment horizontal="center"/>
    </xf>
    <xf numFmtId="0" fontId="114" fillId="9" borderId="2" xfId="0" applyFont="1" applyFill="1" applyBorder="1" applyAlignment="1">
      <alignment horizontal="center" vertical="center"/>
    </xf>
    <xf numFmtId="0" fontId="4" fillId="6" borderId="40" xfId="0" applyFont="1" applyFill="1" applyBorder="1" applyAlignment="1">
      <alignment horizontal="center" vertical="center"/>
    </xf>
    <xf numFmtId="0" fontId="0" fillId="3" borderId="3" xfId="0" applyFill="1" applyBorder="1" applyAlignment="1">
      <alignment horizontal="center"/>
    </xf>
    <xf numFmtId="0" fontId="0" fillId="3" borderId="9" xfId="0" applyFill="1" applyBorder="1" applyAlignment="1">
      <alignment horizontal="center"/>
    </xf>
    <xf numFmtId="0" fontId="0" fillId="11" borderId="9" xfId="0" applyFill="1" applyBorder="1" applyAlignment="1">
      <alignment horizontal="center"/>
    </xf>
    <xf numFmtId="0" fontId="4" fillId="3" borderId="74" xfId="0" applyFont="1" applyFill="1" applyBorder="1" applyAlignment="1">
      <alignment horizontal="center" vertical="center"/>
    </xf>
    <xf numFmtId="0" fontId="0" fillId="3" borderId="18" xfId="0" applyFill="1" applyBorder="1" applyAlignment="1">
      <alignment horizontal="center"/>
    </xf>
    <xf numFmtId="0" fontId="4" fillId="6" borderId="75" xfId="0" applyFont="1" applyFill="1" applyBorder="1" applyAlignment="1">
      <alignment horizontal="center" vertical="center"/>
    </xf>
    <xf numFmtId="169" fontId="0" fillId="3" borderId="25" xfId="4" applyNumberFormat="1" applyFont="1" applyFill="1" applyBorder="1"/>
    <xf numFmtId="0" fontId="4" fillId="3" borderId="11" xfId="0" applyFont="1" applyFill="1" applyBorder="1" applyAlignment="1">
      <alignment horizontal="left" vertical="center" wrapText="1"/>
    </xf>
    <xf numFmtId="0" fontId="11" fillId="4" borderId="0" xfId="5" applyFill="1" applyAlignment="1">
      <alignment horizontal="left"/>
    </xf>
    <xf numFmtId="0" fontId="11" fillId="3" borderId="0" xfId="5" applyFill="1" applyBorder="1" applyAlignment="1">
      <alignment horizontal="left"/>
    </xf>
    <xf numFmtId="0" fontId="11" fillId="4" borderId="11" xfId="5" applyFill="1" applyBorder="1" applyAlignment="1">
      <alignment horizontal="left"/>
    </xf>
    <xf numFmtId="0" fontId="11" fillId="4" borderId="29" xfId="5" applyFill="1" applyBorder="1" applyAlignment="1">
      <alignment horizontal="left"/>
    </xf>
    <xf numFmtId="0" fontId="11" fillId="3" borderId="11" xfId="5" applyFill="1" applyBorder="1" applyAlignment="1">
      <alignment horizontal="left"/>
    </xf>
    <xf numFmtId="0" fontId="4" fillId="3" borderId="29" xfId="0" applyFont="1" applyFill="1" applyBorder="1" applyAlignment="1">
      <alignment horizontal="left" vertical="center" wrapText="1"/>
    </xf>
    <xf numFmtId="0" fontId="4" fillId="3" borderId="0" xfId="0" applyFont="1" applyFill="1" applyAlignment="1">
      <alignment horizontal="left" vertical="center" wrapText="1"/>
    </xf>
    <xf numFmtId="0" fontId="11" fillId="4" borderId="4" xfId="5" applyFill="1" applyBorder="1" applyAlignment="1">
      <alignment horizontal="left"/>
    </xf>
    <xf numFmtId="0" fontId="11" fillId="4" borderId="0" xfId="5" applyFill="1" applyBorder="1" applyAlignment="1">
      <alignment horizontal="left"/>
    </xf>
    <xf numFmtId="0" fontId="4" fillId="3" borderId="4" xfId="0" applyFont="1" applyFill="1" applyBorder="1" applyAlignment="1">
      <alignment horizontal="left" vertical="center" wrapText="1"/>
    </xf>
    <xf numFmtId="0" fontId="11" fillId="3" borderId="29" xfId="5" applyFill="1" applyBorder="1" applyAlignment="1">
      <alignment horizontal="left"/>
    </xf>
    <xf numFmtId="0" fontId="4" fillId="27" borderId="4" xfId="0" applyFont="1" applyFill="1" applyBorder="1" applyAlignment="1">
      <alignment horizontal="left" vertical="center" wrapText="1"/>
    </xf>
    <xf numFmtId="0" fontId="11" fillId="3" borderId="0" xfId="5" applyFill="1" applyAlignment="1">
      <alignment horizontal="left"/>
    </xf>
    <xf numFmtId="10" fontId="123" fillId="11" borderId="46" xfId="0" applyNumberFormat="1" applyFont="1" applyFill="1" applyBorder="1" applyAlignment="1">
      <alignment vertical="center"/>
    </xf>
    <xf numFmtId="169" fontId="109" fillId="3" borderId="0" xfId="4" applyNumberFormat="1" applyFont="1" applyFill="1" applyBorder="1" applyAlignment="1">
      <alignment vertical="center"/>
    </xf>
    <xf numFmtId="169" fontId="109" fillId="3" borderId="10" xfId="4" applyNumberFormat="1" applyFont="1" applyFill="1" applyBorder="1" applyAlignment="1">
      <alignment vertical="center"/>
    </xf>
    <xf numFmtId="0" fontId="4" fillId="3" borderId="3" xfId="0" applyFont="1" applyFill="1" applyBorder="1" applyAlignment="1">
      <alignment horizontal="right" wrapText="1"/>
    </xf>
    <xf numFmtId="10" fontId="0" fillId="3" borderId="0" xfId="0" applyNumberFormat="1" applyFill="1"/>
    <xf numFmtId="10" fontId="0" fillId="3" borderId="9" xfId="2" applyNumberFormat="1" applyFont="1" applyFill="1" applyBorder="1"/>
    <xf numFmtId="10" fontId="0" fillId="3" borderId="6" xfId="2" applyNumberFormat="1" applyFont="1" applyFill="1" applyBorder="1"/>
    <xf numFmtId="0" fontId="6" fillId="31" borderId="0" xfId="0" applyFont="1" applyFill="1"/>
    <xf numFmtId="0" fontId="6" fillId="31" borderId="11" xfId="0" applyFont="1" applyFill="1" applyBorder="1" applyAlignment="1">
      <alignment horizontal="right"/>
    </xf>
    <xf numFmtId="0" fontId="6" fillId="31" borderId="79" xfId="0" applyFont="1" applyFill="1" applyBorder="1" applyAlignment="1">
      <alignment horizontal="right"/>
    </xf>
    <xf numFmtId="169" fontId="6" fillId="31" borderId="0" xfId="0" applyNumberFormat="1" applyFont="1" applyFill="1"/>
    <xf numFmtId="169" fontId="6" fillId="31" borderId="78" xfId="0" applyNumberFormat="1" applyFont="1" applyFill="1" applyBorder="1"/>
    <xf numFmtId="169" fontId="0" fillId="31" borderId="25" xfId="4" applyNumberFormat="1" applyFont="1" applyFill="1" applyBorder="1"/>
    <xf numFmtId="14" fontId="6" fillId="31" borderId="0" xfId="0" applyNumberFormat="1" applyFont="1" applyFill="1"/>
    <xf numFmtId="169" fontId="6" fillId="31" borderId="76" xfId="0" applyNumberFormat="1" applyFont="1" applyFill="1" applyBorder="1"/>
    <xf numFmtId="169" fontId="6" fillId="31" borderId="29" xfId="0" applyNumberFormat="1" applyFont="1" applyFill="1" applyBorder="1"/>
    <xf numFmtId="169" fontId="6" fillId="31" borderId="77" xfId="0" applyNumberFormat="1" applyFont="1" applyFill="1" applyBorder="1"/>
    <xf numFmtId="169" fontId="6" fillId="31" borderId="80" xfId="0" applyNumberFormat="1" applyFont="1" applyFill="1" applyBorder="1"/>
    <xf numFmtId="169" fontId="6" fillId="31" borderId="24" xfId="0" applyNumberFormat="1" applyFont="1" applyFill="1" applyBorder="1"/>
    <xf numFmtId="169" fontId="6" fillId="31" borderId="7" xfId="0" applyNumberFormat="1" applyFont="1" applyFill="1" applyBorder="1"/>
    <xf numFmtId="0" fontId="6" fillId="31" borderId="81" xfId="0" applyFont="1" applyFill="1" applyBorder="1"/>
    <xf numFmtId="0" fontId="6" fillId="31" borderId="9" xfId="0" applyFont="1" applyFill="1" applyBorder="1"/>
    <xf numFmtId="169" fontId="6" fillId="31" borderId="81" xfId="0" applyNumberFormat="1" applyFont="1" applyFill="1" applyBorder="1"/>
    <xf numFmtId="169" fontId="6" fillId="31" borderId="25" xfId="0" applyNumberFormat="1" applyFont="1" applyFill="1" applyBorder="1"/>
    <xf numFmtId="169" fontId="0" fillId="31" borderId="9" xfId="4" applyNumberFormat="1" applyFont="1" applyFill="1" applyBorder="1"/>
    <xf numFmtId="169" fontId="6" fillId="31" borderId="0" xfId="0" applyNumberFormat="1" applyFont="1" applyFill="1" applyAlignment="1">
      <alignment horizontal="right"/>
    </xf>
    <xf numFmtId="184" fontId="6" fillId="31" borderId="0" xfId="0" applyNumberFormat="1" applyFont="1" applyFill="1"/>
    <xf numFmtId="0" fontId="6" fillId="31" borderId="0" xfId="0" applyFont="1" applyFill="1" applyAlignment="1">
      <alignment horizontal="right"/>
    </xf>
    <xf numFmtId="10" fontId="6" fillId="31" borderId="0" xfId="0" applyNumberFormat="1" applyFont="1" applyFill="1"/>
    <xf numFmtId="167" fontId="0" fillId="31" borderId="9" xfId="4" applyNumberFormat="1" applyFont="1" applyFill="1" applyBorder="1"/>
    <xf numFmtId="0" fontId="6" fillId="31" borderId="11" xfId="0" applyFont="1" applyFill="1" applyBorder="1"/>
    <xf numFmtId="185" fontId="6" fillId="3" borderId="0" xfId="0" applyNumberFormat="1" applyFont="1" applyFill="1" applyAlignment="1">
      <alignment horizontal="left" vertical="center"/>
    </xf>
    <xf numFmtId="169" fontId="87" fillId="3" borderId="11" xfId="0" applyNumberFormat="1" applyFont="1" applyFill="1" applyBorder="1" applyAlignment="1">
      <alignment vertical="center"/>
    </xf>
    <xf numFmtId="169" fontId="87" fillId="3" borderId="30" xfId="0" applyNumberFormat="1" applyFont="1" applyFill="1" applyBorder="1" applyAlignment="1">
      <alignment vertical="center"/>
    </xf>
    <xf numFmtId="0" fontId="105" fillId="11" borderId="4" xfId="5" applyFont="1" applyFill="1" applyBorder="1" applyAlignment="1"/>
    <xf numFmtId="0" fontId="4" fillId="3" borderId="1" xfId="0" applyFont="1" applyFill="1" applyBorder="1" applyAlignment="1">
      <alignment horizontal="center" vertical="center" wrapText="1"/>
    </xf>
    <xf numFmtId="0" fontId="70" fillId="3" borderId="0" xfId="0" applyFont="1" applyFill="1" applyAlignment="1">
      <alignment horizontal="left" vertical="center" wrapText="1"/>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0" fillId="0" borderId="0" xfId="0" applyAlignment="1">
      <alignment wrapText="1"/>
    </xf>
    <xf numFmtId="0" fontId="0" fillId="3" borderId="29" xfId="0" applyFill="1" applyBorder="1" applyAlignment="1">
      <alignment wrapText="1"/>
    </xf>
    <xf numFmtId="0" fontId="0" fillId="3" borderId="25" xfId="0" applyFill="1" applyBorder="1" applyAlignment="1">
      <alignment horizontal="left" vertical="center" wrapText="1"/>
    </xf>
    <xf numFmtId="0" fontId="69" fillId="3" borderId="0" xfId="0" applyFont="1" applyFill="1"/>
    <xf numFmtId="0" fontId="70" fillId="3" borderId="0" xfId="0" applyFont="1" applyFill="1" applyAlignment="1">
      <alignment horizontal="center" vertical="center" wrapText="1"/>
    </xf>
    <xf numFmtId="0" fontId="58" fillId="3" borderId="0" xfId="0" applyFont="1" applyFill="1" applyAlignment="1">
      <alignment wrapText="1"/>
    </xf>
    <xf numFmtId="0" fontId="117" fillId="3" borderId="3" xfId="0" applyFont="1" applyFill="1" applyBorder="1" applyAlignment="1">
      <alignment horizontal="center" vertical="center" wrapText="1"/>
    </xf>
    <xf numFmtId="0" fontId="117" fillId="3" borderId="1" xfId="0" applyFont="1" applyFill="1" applyBorder="1" applyAlignment="1">
      <alignment horizontal="center" vertical="center" wrapText="1"/>
    </xf>
    <xf numFmtId="165" fontId="70" fillId="3" borderId="0" xfId="4" applyNumberFormat="1" applyFont="1" applyFill="1" applyBorder="1" applyAlignment="1">
      <alignment vertical="center"/>
    </xf>
    <xf numFmtId="0" fontId="4" fillId="3" borderId="3" xfId="0" applyFont="1" applyFill="1" applyBorder="1" applyAlignment="1">
      <alignment horizontal="center" vertical="center" wrapText="1"/>
    </xf>
    <xf numFmtId="0" fontId="0" fillId="3" borderId="7" xfId="0" applyFill="1" applyBorder="1" applyAlignment="1">
      <alignment horizontal="center"/>
    </xf>
    <xf numFmtId="0" fontId="0" fillId="3" borderId="8" xfId="0" applyFill="1" applyBorder="1" applyAlignment="1">
      <alignment horizontal="center"/>
    </xf>
    <xf numFmtId="0" fontId="0" fillId="3" borderId="1" xfId="0" applyFill="1" applyBorder="1" applyAlignment="1">
      <alignment vertical="center"/>
    </xf>
    <xf numFmtId="0" fontId="0" fillId="29" borderId="3" xfId="0" applyFill="1" applyBorder="1"/>
    <xf numFmtId="0" fontId="0" fillId="29" borderId="4" xfId="0" applyFill="1" applyBorder="1"/>
    <xf numFmtId="0" fontId="17" fillId="3" borderId="4" xfId="0" applyFont="1" applyFill="1" applyBorder="1" applyAlignment="1">
      <alignment horizontal="right"/>
    </xf>
    <xf numFmtId="0" fontId="0" fillId="29" borderId="3" xfId="0" quotePrefix="1" applyFill="1" applyBorder="1" applyAlignment="1">
      <alignment vertical="center" wrapText="1"/>
    </xf>
    <xf numFmtId="0" fontId="0" fillId="29" borderId="3" xfId="0" applyFill="1" applyBorder="1" applyAlignment="1">
      <alignment vertical="center"/>
    </xf>
    <xf numFmtId="165" fontId="0" fillId="3" borderId="9" xfId="0" applyNumberFormat="1" applyFill="1" applyBorder="1"/>
    <xf numFmtId="165" fontId="0" fillId="3" borderId="0" xfId="0" applyNumberFormat="1" applyFill="1"/>
    <xf numFmtId="165" fontId="0" fillId="3" borderId="0" xfId="4" applyNumberFormat="1" applyFont="1" applyFill="1" applyBorder="1" applyAlignment="1">
      <alignment vertical="center"/>
    </xf>
    <xf numFmtId="165" fontId="0" fillId="3" borderId="9" xfId="0" applyNumberFormat="1" applyFill="1" applyBorder="1" applyAlignment="1">
      <alignment horizontal="right" vertical="center" wrapText="1"/>
    </xf>
    <xf numFmtId="165" fontId="0" fillId="3" borderId="9" xfId="4" applyNumberFormat="1" applyFont="1" applyFill="1" applyBorder="1" applyAlignment="1">
      <alignment vertical="center"/>
    </xf>
    <xf numFmtId="0" fontId="0" fillId="29" borderId="3" xfId="0" applyFill="1" applyBorder="1" applyAlignment="1">
      <alignment horizontal="right" vertical="center" wrapText="1"/>
    </xf>
    <xf numFmtId="0" fontId="0" fillId="29" borderId="3" xfId="0" applyFill="1" applyBorder="1" applyAlignment="1">
      <alignment horizontal="left" vertical="center" wrapText="1"/>
    </xf>
    <xf numFmtId="175" fontId="0" fillId="29" borderId="3" xfId="1" applyNumberFormat="1" applyFont="1" applyFill="1" applyBorder="1" applyAlignment="1">
      <alignment horizontal="left" vertical="center" wrapText="1"/>
    </xf>
    <xf numFmtId="10" fontId="0" fillId="3" borderId="9" xfId="0" applyNumberFormat="1" applyFill="1" applyBorder="1"/>
    <xf numFmtId="175" fontId="0" fillId="3" borderId="0" xfId="1" applyNumberFormat="1" applyFont="1" applyFill="1" applyBorder="1" applyAlignment="1">
      <alignment horizontal="left" vertical="center" wrapText="1"/>
    </xf>
    <xf numFmtId="10" fontId="0" fillId="3" borderId="9" xfId="2" applyNumberFormat="1" applyFont="1" applyFill="1" applyBorder="1" applyAlignment="1">
      <alignment horizontal="right" vertical="center" wrapText="1"/>
    </xf>
    <xf numFmtId="175" fontId="0" fillId="3" borderId="9" xfId="1" applyNumberFormat="1" applyFont="1" applyFill="1" applyBorder="1" applyAlignment="1">
      <alignment horizontal="left" vertical="center" wrapText="1"/>
    </xf>
    <xf numFmtId="0" fontId="0" fillId="3" borderId="8" xfId="0" applyFill="1" applyBorder="1" applyAlignment="1">
      <alignment vertical="center"/>
    </xf>
    <xf numFmtId="10" fontId="0" fillId="3" borderId="9" xfId="2" applyNumberFormat="1" applyFont="1" applyFill="1" applyBorder="1" applyAlignment="1">
      <alignment horizontal="right" vertical="center"/>
    </xf>
    <xf numFmtId="165" fontId="0" fillId="29" borderId="4" xfId="4" applyNumberFormat="1" applyFont="1" applyFill="1" applyBorder="1" applyAlignment="1">
      <alignment vertical="center"/>
    </xf>
    <xf numFmtId="165" fontId="0" fillId="29" borderId="3" xfId="4" applyNumberFormat="1" applyFont="1" applyFill="1" applyBorder="1" applyAlignment="1">
      <alignment vertical="center"/>
    </xf>
    <xf numFmtId="165" fontId="0" fillId="3" borderId="3" xfId="4" applyNumberFormat="1" applyFont="1" applyFill="1" applyBorder="1" applyAlignment="1">
      <alignment vertical="center"/>
    </xf>
    <xf numFmtId="0" fontId="70" fillId="3" borderId="27" xfId="0" applyFont="1" applyFill="1" applyBorder="1"/>
    <xf numFmtId="0" fontId="70" fillId="3" borderId="32" xfId="0" applyFont="1" applyFill="1" applyBorder="1"/>
    <xf numFmtId="0" fontId="117" fillId="3" borderId="0" xfId="0" applyFont="1" applyFill="1" applyAlignment="1">
      <alignment vertical="center"/>
    </xf>
    <xf numFmtId="0" fontId="117" fillId="3" borderId="65" xfId="0" applyFont="1" applyFill="1" applyBorder="1" applyAlignment="1">
      <alignment horizontal="centerContinuous"/>
    </xf>
    <xf numFmtId="0" fontId="117" fillId="3" borderId="66" xfId="0" applyFont="1" applyFill="1" applyBorder="1" applyAlignment="1">
      <alignment horizontal="centerContinuous"/>
    </xf>
    <xf numFmtId="0" fontId="70" fillId="3" borderId="66" xfId="0" applyFont="1" applyFill="1" applyBorder="1" applyAlignment="1">
      <alignment horizontal="centerContinuous"/>
    </xf>
    <xf numFmtId="0" fontId="110" fillId="3" borderId="18" xfId="0" applyFont="1" applyFill="1" applyBorder="1" applyAlignment="1">
      <alignment horizontal="center" vertical="center" wrapText="1"/>
    </xf>
    <xf numFmtId="0" fontId="117" fillId="3" borderId="9" xfId="0" applyFont="1" applyFill="1" applyBorder="1" applyAlignment="1">
      <alignment horizontal="center" vertical="center" wrapText="1"/>
    </xf>
    <xf numFmtId="0" fontId="70" fillId="3" borderId="28" xfId="0" quotePrefix="1" applyFont="1" applyFill="1" applyBorder="1" applyAlignment="1">
      <alignment horizontal="centerContinuous" vertical="center" wrapText="1"/>
    </xf>
    <xf numFmtId="165" fontId="124" fillId="2" borderId="48" xfId="3" applyNumberFormat="1" applyFont="1" applyBorder="1" applyAlignment="1">
      <alignment horizontal="center" vertical="center"/>
    </xf>
    <xf numFmtId="165" fontId="124" fillId="2" borderId="49" xfId="3" applyNumberFormat="1" applyFont="1" applyBorder="1" applyAlignment="1">
      <alignment horizontal="center" vertical="center"/>
    </xf>
    <xf numFmtId="0" fontId="117" fillId="3" borderId="0" xfId="0" applyFont="1" applyFill="1"/>
    <xf numFmtId="0" fontId="70" fillId="3" borderId="3" xfId="0" applyFont="1" applyFill="1" applyBorder="1" applyAlignment="1">
      <alignment vertical="center"/>
    </xf>
    <xf numFmtId="0" fontId="117" fillId="3" borderId="0" xfId="0" applyFont="1" applyFill="1" applyAlignment="1">
      <alignment horizontal="left" vertical="center"/>
    </xf>
    <xf numFmtId="0" fontId="70" fillId="3" borderId="0" xfId="0" applyFont="1" applyFill="1" applyAlignment="1">
      <alignment wrapText="1"/>
    </xf>
    <xf numFmtId="0" fontId="124" fillId="3" borderId="0" xfId="3" applyFont="1" applyFill="1" applyBorder="1" applyAlignment="1">
      <alignment vertical="center"/>
    </xf>
    <xf numFmtId="10" fontId="70" fillId="3" borderId="3" xfId="2" applyNumberFormat="1" applyFont="1" applyFill="1" applyBorder="1" applyAlignment="1">
      <alignment vertical="center"/>
    </xf>
    <xf numFmtId="175" fontId="70" fillId="3" borderId="3" xfId="1" applyNumberFormat="1" applyFont="1" applyFill="1" applyBorder="1"/>
    <xf numFmtId="10" fontId="70" fillId="3" borderId="11" xfId="2" applyNumberFormat="1" applyFont="1" applyFill="1" applyBorder="1" applyAlignment="1">
      <alignment vertical="center"/>
    </xf>
    <xf numFmtId="0" fontId="117" fillId="3" borderId="17" xfId="0" applyFont="1" applyFill="1" applyBorder="1" applyAlignment="1">
      <alignment horizontal="center" vertical="center" wrapText="1"/>
    </xf>
    <xf numFmtId="0" fontId="117" fillId="3" borderId="74" xfId="0" applyFont="1" applyFill="1" applyBorder="1" applyAlignment="1">
      <alignment horizontal="center" vertical="center" wrapText="1"/>
    </xf>
    <xf numFmtId="0" fontId="117" fillId="3" borderId="37" xfId="0" applyFont="1" applyFill="1" applyBorder="1" applyAlignment="1">
      <alignment horizontal="center" vertical="center" wrapText="1"/>
    </xf>
    <xf numFmtId="10" fontId="70" fillId="11" borderId="21" xfId="0" applyNumberFormat="1" applyFont="1" applyFill="1" applyBorder="1"/>
    <xf numFmtId="0" fontId="70" fillId="11" borderId="67" xfId="0" applyFont="1" applyFill="1" applyBorder="1"/>
    <xf numFmtId="165" fontId="124" fillId="3" borderId="0" xfId="3" applyNumberFormat="1" applyFont="1" applyFill="1" applyBorder="1" applyAlignment="1">
      <alignment horizontal="center" vertical="center"/>
    </xf>
    <xf numFmtId="0" fontId="117" fillId="0" borderId="26" xfId="0" applyFont="1" applyBorder="1" applyAlignment="1">
      <alignment horizontal="centerContinuous" vertical="center" wrapText="1"/>
    </xf>
    <xf numFmtId="0" fontId="70" fillId="3" borderId="27" xfId="0" applyFont="1" applyFill="1" applyBorder="1" applyAlignment="1">
      <alignment horizontal="centerContinuous"/>
    </xf>
    <xf numFmtId="0" fontId="70" fillId="3" borderId="57" xfId="0" applyFont="1" applyFill="1" applyBorder="1" applyAlignment="1">
      <alignment horizontal="centerContinuous"/>
    </xf>
    <xf numFmtId="0" fontId="117" fillId="3" borderId="13" xfId="0" applyFont="1" applyFill="1" applyBorder="1" applyAlignment="1">
      <alignment vertical="center" wrapText="1"/>
    </xf>
    <xf numFmtId="0" fontId="117" fillId="0" borderId="16" xfId="0" applyFont="1" applyBorder="1" applyAlignment="1">
      <alignment vertical="center" wrapText="1"/>
    </xf>
    <xf numFmtId="0" fontId="117" fillId="0" borderId="7" xfId="0" applyFont="1" applyBorder="1" applyAlignment="1">
      <alignment vertical="center" wrapText="1"/>
    </xf>
    <xf numFmtId="0" fontId="117" fillId="0" borderId="15" xfId="0" applyFont="1" applyBorder="1" applyAlignment="1">
      <alignment vertical="center" wrapText="1"/>
    </xf>
    <xf numFmtId="0" fontId="70" fillId="3" borderId="23" xfId="0" applyFont="1" applyFill="1" applyBorder="1" applyAlignment="1">
      <alignment vertical="center"/>
    </xf>
    <xf numFmtId="10" fontId="70" fillId="3" borderId="16" xfId="4" applyNumberFormat="1" applyFont="1" applyFill="1" applyBorder="1" applyAlignment="1">
      <alignment vertical="center"/>
    </xf>
    <xf numFmtId="10" fontId="70" fillId="3" borderId="7" xfId="4" applyNumberFormat="1" applyFont="1" applyFill="1" applyBorder="1" applyAlignment="1">
      <alignment vertical="center"/>
    </xf>
    <xf numFmtId="10" fontId="70" fillId="3" borderId="15" xfId="4" applyNumberFormat="1" applyFont="1" applyFill="1" applyBorder="1" applyAlignment="1">
      <alignment vertical="center"/>
    </xf>
    <xf numFmtId="0" fontId="70" fillId="3" borderId="17" xfId="0" applyFont="1" applyFill="1" applyBorder="1" applyAlignment="1">
      <alignment vertical="center"/>
    </xf>
    <xf numFmtId="10" fontId="70" fillId="3" borderId="58" xfId="4" applyNumberFormat="1" applyFont="1" applyFill="1" applyBorder="1" applyAlignment="1">
      <alignment vertical="center"/>
    </xf>
    <xf numFmtId="10" fontId="70" fillId="3" borderId="9" xfId="4" applyNumberFormat="1" applyFont="1" applyFill="1" applyBorder="1" applyAlignment="1">
      <alignment vertical="center"/>
    </xf>
    <xf numFmtId="10" fontId="70" fillId="3" borderId="18" xfId="4" applyNumberFormat="1" applyFont="1" applyFill="1" applyBorder="1" applyAlignment="1">
      <alignment vertical="center"/>
    </xf>
    <xf numFmtId="0" fontId="70" fillId="3" borderId="31" xfId="0" applyFont="1" applyFill="1" applyBorder="1" applyAlignment="1">
      <alignment vertical="center"/>
    </xf>
    <xf numFmtId="10" fontId="70" fillId="3" borderId="67" xfId="4" applyNumberFormat="1" applyFont="1" applyFill="1" applyBorder="1" applyAlignment="1">
      <alignment vertical="center"/>
    </xf>
    <xf numFmtId="10" fontId="70" fillId="3" borderId="68" xfId="4" applyNumberFormat="1" applyFont="1" applyFill="1" applyBorder="1" applyAlignment="1">
      <alignment vertical="center"/>
    </xf>
    <xf numFmtId="10" fontId="70" fillId="3" borderId="69" xfId="4" applyNumberFormat="1" applyFont="1" applyFill="1" applyBorder="1" applyAlignment="1">
      <alignment vertical="center"/>
    </xf>
    <xf numFmtId="10" fontId="70" fillId="3" borderId="0" xfId="4" applyNumberFormat="1" applyFont="1" applyFill="1" applyBorder="1" applyAlignment="1">
      <alignment vertical="center"/>
    </xf>
    <xf numFmtId="10" fontId="58" fillId="3" borderId="0" xfId="4" applyNumberFormat="1" applyFont="1" applyFill="1" applyBorder="1" applyAlignment="1">
      <alignment vertical="center"/>
    </xf>
    <xf numFmtId="0" fontId="117" fillId="3" borderId="0" xfId="0" applyFont="1" applyFill="1" applyAlignment="1">
      <alignment horizontal="center"/>
    </xf>
    <xf numFmtId="0" fontId="117" fillId="3" borderId="59" xfId="0" applyFont="1" applyFill="1" applyBorder="1" applyAlignment="1">
      <alignment vertical="center" wrapText="1"/>
    </xf>
    <xf numFmtId="0" fontId="117" fillId="3" borderId="25" xfId="0" applyFont="1" applyFill="1" applyBorder="1" applyAlignment="1">
      <alignment horizontal="center" vertical="center" wrapText="1"/>
    </xf>
    <xf numFmtId="0" fontId="70" fillId="3" borderId="60" xfId="0" applyFont="1" applyFill="1" applyBorder="1" applyAlignment="1">
      <alignment vertical="center"/>
    </xf>
    <xf numFmtId="0" fontId="70" fillId="3" borderId="4" xfId="0" applyFont="1" applyFill="1" applyBorder="1" applyAlignment="1">
      <alignment horizontal="centerContinuous" vertical="center" wrapText="1"/>
    </xf>
    <xf numFmtId="10" fontId="70" fillId="11" borderId="0" xfId="4" applyNumberFormat="1" applyFont="1" applyFill="1" applyBorder="1" applyAlignment="1">
      <alignment vertical="center"/>
    </xf>
    <xf numFmtId="0" fontId="70" fillId="3" borderId="61" xfId="0" applyFont="1" applyFill="1" applyBorder="1" applyAlignment="1">
      <alignment vertical="center"/>
    </xf>
    <xf numFmtId="0" fontId="70" fillId="3" borderId="62" xfId="0" applyFont="1" applyFill="1" applyBorder="1" applyAlignment="1">
      <alignment vertical="center"/>
    </xf>
    <xf numFmtId="10" fontId="70" fillId="11" borderId="32" xfId="4" applyNumberFormat="1" applyFont="1" applyFill="1" applyBorder="1" applyAlignment="1">
      <alignment vertical="center"/>
    </xf>
    <xf numFmtId="0" fontId="120" fillId="3" borderId="0" xfId="0" applyFont="1" applyFill="1" applyAlignment="1">
      <alignment vertical="center"/>
    </xf>
    <xf numFmtId="0" fontId="4" fillId="3" borderId="1" xfId="0" applyFont="1" applyFill="1" applyBorder="1" applyAlignment="1">
      <alignment horizontal="left" wrapText="1"/>
    </xf>
    <xf numFmtId="0" fontId="0" fillId="3" borderId="8" xfId="0" applyFill="1" applyBorder="1" applyAlignment="1">
      <alignment horizontal="left" vertical="center"/>
    </xf>
    <xf numFmtId="165" fontId="0" fillId="3" borderId="7" xfId="4" applyNumberFormat="1" applyFont="1" applyFill="1" applyBorder="1" applyAlignment="1">
      <alignment vertical="center"/>
    </xf>
    <xf numFmtId="165" fontId="0" fillId="3" borderId="6" xfId="4" applyNumberFormat="1" applyFont="1" applyFill="1" applyBorder="1" applyAlignment="1">
      <alignment vertical="center"/>
    </xf>
    <xf numFmtId="165" fontId="0" fillId="3" borderId="12" xfId="4" applyNumberFormat="1" applyFont="1" applyFill="1" applyBorder="1" applyAlignment="1">
      <alignment vertical="center"/>
    </xf>
    <xf numFmtId="165" fontId="0" fillId="3" borderId="10" xfId="4" applyNumberFormat="1" applyFont="1" applyFill="1" applyBorder="1" applyAlignment="1">
      <alignment vertical="center"/>
    </xf>
    <xf numFmtId="0" fontId="4" fillId="3" borderId="65" xfId="0" applyFont="1" applyFill="1" applyBorder="1" applyAlignment="1">
      <alignment horizontal="centerContinuous"/>
    </xf>
    <xf numFmtId="0" fontId="4" fillId="3" borderId="66" xfId="0" applyFont="1" applyFill="1" applyBorder="1" applyAlignment="1">
      <alignment horizontal="centerContinuous"/>
    </xf>
    <xf numFmtId="0" fontId="0" fillId="3" borderId="66" xfId="0" applyFill="1" applyBorder="1" applyAlignment="1">
      <alignment horizontal="centerContinuous"/>
    </xf>
    <xf numFmtId="0" fontId="4" fillId="3" borderId="58" xfId="0" applyFont="1" applyFill="1" applyBorder="1" applyAlignment="1">
      <alignment horizontal="center" vertical="center" wrapText="1"/>
    </xf>
    <xf numFmtId="0" fontId="11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19" xfId="0" quotePrefix="1" applyFill="1" applyBorder="1" applyAlignment="1">
      <alignment horizontal="centerContinuous" vertical="center" wrapText="1"/>
    </xf>
    <xf numFmtId="0" fontId="0" fillId="3" borderId="28" xfId="0" quotePrefix="1" applyFill="1" applyBorder="1" applyAlignment="1">
      <alignment horizontal="centerContinuous" vertical="center" wrapText="1"/>
    </xf>
    <xf numFmtId="165" fontId="8" fillId="11" borderId="23" xfId="4" applyNumberFormat="1" applyFont="1" applyFill="1" applyBorder="1" applyAlignment="1">
      <alignment horizontal="center" vertical="center"/>
    </xf>
    <xf numFmtId="165" fontId="2" fillId="2" borderId="48" xfId="3" applyNumberFormat="1" applyBorder="1" applyAlignment="1">
      <alignment horizontal="center" vertical="center"/>
    </xf>
    <xf numFmtId="165" fontId="8" fillId="11" borderId="17" xfId="4" applyNumberFormat="1" applyFont="1" applyFill="1" applyBorder="1" applyAlignment="1">
      <alignment horizontal="center" vertical="center"/>
    </xf>
    <xf numFmtId="165" fontId="8" fillId="11" borderId="31" xfId="4" applyNumberFormat="1" applyFont="1" applyFill="1" applyBorder="1" applyAlignment="1">
      <alignment horizontal="center" vertical="center"/>
    </xf>
    <xf numFmtId="165" fontId="2" fillId="2" borderId="49" xfId="3" applyNumberFormat="1" applyBorder="1" applyAlignment="1">
      <alignment horizontal="center" vertical="center"/>
    </xf>
    <xf numFmtId="10" fontId="0" fillId="3" borderId="3" xfId="2" applyNumberFormat="1" applyFont="1" applyFill="1" applyBorder="1" applyAlignment="1">
      <alignment vertical="center"/>
    </xf>
    <xf numFmtId="175" fontId="0" fillId="3" borderId="3" xfId="1" applyNumberFormat="1" applyFont="1" applyFill="1" applyBorder="1"/>
    <xf numFmtId="10" fontId="0" fillId="3" borderId="0" xfId="2" applyNumberFormat="1" applyFont="1" applyFill="1" applyBorder="1" applyAlignment="1">
      <alignment vertical="center"/>
    </xf>
    <xf numFmtId="10" fontId="0" fillId="3" borderId="11" xfId="2" applyNumberFormat="1" applyFont="1" applyFill="1" applyBorder="1" applyAlignment="1">
      <alignment vertical="center"/>
    </xf>
    <xf numFmtId="0" fontId="4" fillId="3" borderId="17" xfId="0" applyFont="1" applyFill="1" applyBorder="1" applyAlignment="1">
      <alignment horizontal="center" vertical="center" wrapText="1"/>
    </xf>
    <xf numFmtId="0" fontId="4" fillId="3" borderId="74" xfId="0" applyFont="1" applyFill="1" applyBorder="1" applyAlignment="1">
      <alignment horizontal="center" vertical="center" wrapText="1"/>
    </xf>
    <xf numFmtId="0" fontId="4" fillId="3" borderId="37" xfId="0" applyFont="1" applyFill="1" applyBorder="1" applyAlignment="1">
      <alignment horizontal="center" vertical="center" wrapText="1"/>
    </xf>
    <xf numFmtId="10" fontId="0" fillId="11" borderId="21" xfId="0" applyNumberFormat="1" applyFill="1" applyBorder="1"/>
    <xf numFmtId="0" fontId="0" fillId="11" borderId="67" xfId="0" applyFill="1" applyBorder="1"/>
    <xf numFmtId="0" fontId="0" fillId="3" borderId="3" xfId="0" applyFill="1" applyBorder="1" applyAlignment="1">
      <alignment vertical="center" wrapText="1"/>
    </xf>
    <xf numFmtId="0" fontId="68" fillId="3" borderId="3" xfId="0" applyFont="1" applyFill="1" applyBorder="1" applyAlignment="1">
      <alignment wrapText="1"/>
    </xf>
    <xf numFmtId="0" fontId="10" fillId="3" borderId="3" xfId="0" applyFont="1" applyFill="1" applyBorder="1" applyAlignment="1">
      <alignment vertical="center" wrapText="1"/>
    </xf>
    <xf numFmtId="0" fontId="68" fillId="19" borderId="3" xfId="0" applyFont="1" applyFill="1" applyBorder="1" applyAlignment="1">
      <alignment wrapText="1"/>
    </xf>
    <xf numFmtId="0" fontId="10" fillId="20" borderId="3" xfId="0" applyFont="1" applyFill="1" applyBorder="1" applyAlignment="1">
      <alignment wrapText="1"/>
    </xf>
    <xf numFmtId="0" fontId="125" fillId="11" borderId="1" xfId="0" applyFont="1" applyFill="1" applyBorder="1" applyAlignment="1">
      <alignment vertical="center"/>
    </xf>
    <xf numFmtId="0" fontId="130" fillId="11" borderId="4" xfId="0" applyFont="1" applyFill="1" applyBorder="1" applyAlignment="1">
      <alignment vertical="center"/>
    </xf>
    <xf numFmtId="0" fontId="58" fillId="11" borderId="4" xfId="0" applyFont="1" applyFill="1" applyBorder="1"/>
    <xf numFmtId="0" fontId="58" fillId="11" borderId="2" xfId="0" applyFont="1" applyFill="1" applyBorder="1"/>
    <xf numFmtId="0" fontId="70" fillId="3" borderId="25" xfId="0" applyFont="1" applyFill="1" applyBorder="1"/>
    <xf numFmtId="0" fontId="70" fillId="3" borderId="6" xfId="0" applyFont="1" applyFill="1" applyBorder="1"/>
    <xf numFmtId="0" fontId="0" fillId="3" borderId="0" xfId="0" applyFill="1" applyAlignment="1">
      <alignment vertical="center" wrapText="1"/>
    </xf>
    <xf numFmtId="0" fontId="0" fillId="26" borderId="8" xfId="0" applyFill="1" applyBorder="1"/>
    <xf numFmtId="179" fontId="0" fillId="26" borderId="8" xfId="0" applyNumberFormat="1" applyFill="1" applyBorder="1"/>
    <xf numFmtId="0" fontId="0" fillId="26" borderId="8" xfId="0" applyFill="1" applyBorder="1" applyAlignment="1">
      <alignment wrapText="1"/>
    </xf>
    <xf numFmtId="0" fontId="0" fillId="26" borderId="12" xfId="0" applyFill="1" applyBorder="1" applyAlignment="1">
      <alignment wrapText="1"/>
    </xf>
    <xf numFmtId="0" fontId="0" fillId="0" borderId="8" xfId="0" applyBorder="1"/>
    <xf numFmtId="179" fontId="0" fillId="0" borderId="8" xfId="0" applyNumberFormat="1" applyBorder="1"/>
    <xf numFmtId="0" fontId="0" fillId="0" borderId="8" xfId="0" applyBorder="1" applyAlignment="1">
      <alignment wrapText="1"/>
    </xf>
    <xf numFmtId="0" fontId="0" fillId="26" borderId="3" xfId="0" applyFill="1" applyBorder="1" applyAlignment="1">
      <alignment wrapText="1"/>
    </xf>
    <xf numFmtId="0" fontId="0" fillId="0" borderId="1" xfId="0" applyBorder="1"/>
    <xf numFmtId="179" fontId="0" fillId="0" borderId="1" xfId="0" applyNumberFormat="1" applyBorder="1"/>
    <xf numFmtId="0" fontId="0" fillId="0" borderId="1" xfId="0" applyBorder="1" applyAlignment="1">
      <alignment wrapText="1"/>
    </xf>
    <xf numFmtId="179" fontId="0" fillId="0" borderId="0" xfId="0" applyNumberFormat="1"/>
    <xf numFmtId="0" fontId="0" fillId="3" borderId="3" xfId="0" applyFill="1" applyBorder="1" applyAlignment="1">
      <alignment wrapText="1"/>
    </xf>
    <xf numFmtId="10" fontId="0" fillId="3" borderId="3" xfId="0" applyNumberFormat="1" applyFill="1" applyBorder="1" applyAlignment="1">
      <alignment wrapText="1"/>
    </xf>
    <xf numFmtId="0" fontId="70" fillId="3" borderId="25" xfId="0" applyFont="1" applyFill="1" applyBorder="1" applyAlignment="1">
      <alignment horizontal="left" vertical="center" wrapText="1"/>
    </xf>
    <xf numFmtId="0" fontId="117" fillId="3" borderId="63" xfId="0" applyFont="1" applyFill="1" applyBorder="1"/>
    <xf numFmtId="0" fontId="117" fillId="3" borderId="65" xfId="0" applyFont="1" applyFill="1" applyBorder="1" applyAlignment="1">
      <alignment wrapText="1"/>
    </xf>
    <xf numFmtId="0" fontId="70" fillId="3" borderId="70" xfId="0" applyFont="1" applyFill="1" applyBorder="1"/>
    <xf numFmtId="0" fontId="117" fillId="3" borderId="59" xfId="0" applyFont="1" applyFill="1" applyBorder="1" applyAlignment="1">
      <alignment horizontal="center" vertical="center" wrapText="1"/>
    </xf>
    <xf numFmtId="0" fontId="70" fillId="3" borderId="26" xfId="0" applyFont="1" applyFill="1" applyBorder="1" applyAlignment="1">
      <alignment horizontal="left" vertical="center"/>
    </xf>
    <xf numFmtId="181" fontId="128" fillId="11" borderId="60" xfId="2" applyNumberFormat="1" applyFont="1" applyFill="1" applyBorder="1" applyAlignment="1">
      <alignment horizontal="center" vertical="center"/>
    </xf>
    <xf numFmtId="0" fontId="70" fillId="3" borderId="17" xfId="0" applyFont="1" applyFill="1" applyBorder="1" applyAlignment="1">
      <alignment horizontal="left" vertical="center"/>
    </xf>
    <xf numFmtId="181" fontId="128" fillId="11" borderId="61" xfId="2" applyNumberFormat="1" applyFont="1" applyFill="1" applyBorder="1" applyAlignment="1">
      <alignment horizontal="center" vertical="center"/>
    </xf>
    <xf numFmtId="0" fontId="70" fillId="3" borderId="31" xfId="0" applyFont="1" applyFill="1" applyBorder="1" applyAlignment="1">
      <alignment horizontal="left" vertical="center"/>
    </xf>
    <xf numFmtId="181" fontId="128" fillId="11" borderId="62" xfId="2" applyNumberFormat="1" applyFont="1" applyFill="1" applyBorder="1" applyAlignment="1">
      <alignment horizontal="center" vertical="center"/>
    </xf>
    <xf numFmtId="0" fontId="70" fillId="3" borderId="6" xfId="0" applyFont="1" applyFill="1" applyBorder="1" applyAlignment="1">
      <alignment wrapText="1"/>
    </xf>
    <xf numFmtId="0" fontId="70" fillId="3" borderId="25" xfId="0" applyFont="1" applyFill="1" applyBorder="1" applyAlignment="1">
      <alignment wrapText="1"/>
    </xf>
    <xf numFmtId="0" fontId="0" fillId="3" borderId="6" xfId="0" applyFill="1" applyBorder="1" applyAlignment="1">
      <alignment horizontal="center"/>
    </xf>
    <xf numFmtId="0" fontId="0" fillId="3" borderId="0" xfId="0" applyFill="1" applyAlignment="1">
      <alignment vertical="top" wrapText="1"/>
    </xf>
    <xf numFmtId="0" fontId="0" fillId="3" borderId="6" xfId="0" applyFill="1" applyBorder="1" applyAlignment="1">
      <alignment horizontal="left" vertical="center" indent="8"/>
    </xf>
    <xf numFmtId="0" fontId="58" fillId="3" borderId="0" xfId="5" applyFont="1" applyFill="1" applyBorder="1" applyAlignment="1">
      <alignment vertical="top" wrapText="1"/>
    </xf>
    <xf numFmtId="0" fontId="70" fillId="3" borderId="10" xfId="0" applyFont="1" applyFill="1" applyBorder="1"/>
    <xf numFmtId="0" fontId="70" fillId="3" borderId="11" xfId="0" applyFont="1" applyFill="1" applyBorder="1"/>
    <xf numFmtId="0" fontId="70" fillId="3" borderId="30" xfId="0" applyFont="1" applyFill="1" applyBorder="1"/>
    <xf numFmtId="0" fontId="130" fillId="11" borderId="4" xfId="0" applyFont="1" applyFill="1" applyBorder="1" applyAlignment="1">
      <alignment vertical="center" wrapText="1"/>
    </xf>
    <xf numFmtId="0" fontId="0" fillId="26" borderId="1" xfId="0" applyFill="1" applyBorder="1" applyAlignment="1">
      <alignment horizontal="left" wrapText="1"/>
    </xf>
    <xf numFmtId="0" fontId="0" fillId="3" borderId="1" xfId="0" applyFill="1" applyBorder="1" applyAlignment="1">
      <alignment horizontal="left" wrapText="1"/>
    </xf>
    <xf numFmtId="0" fontId="0" fillId="21" borderId="0" xfId="0" applyFill="1"/>
    <xf numFmtId="0" fontId="0" fillId="0" borderId="1" xfId="0" applyBorder="1" applyAlignment="1">
      <alignment horizontal="left" wrapText="1"/>
    </xf>
    <xf numFmtId="0" fontId="0" fillId="20" borderId="29" xfId="0" applyFill="1" applyBorder="1" applyAlignment="1">
      <alignment horizontal="left" wrapText="1"/>
    </xf>
    <xf numFmtId="0" fontId="70" fillId="3" borderId="0" xfId="0" applyFont="1" applyFill="1" applyAlignment="1">
      <alignment vertical="top" wrapText="1"/>
    </xf>
    <xf numFmtId="0" fontId="70" fillId="3" borderId="25" xfId="0" applyFont="1" applyFill="1" applyBorder="1" applyAlignment="1">
      <alignment vertical="top" wrapText="1"/>
    </xf>
    <xf numFmtId="0" fontId="0" fillId="20" borderId="29" xfId="0" applyFill="1" applyBorder="1" applyAlignment="1">
      <alignment wrapText="1"/>
    </xf>
    <xf numFmtId="0" fontId="0" fillId="20" borderId="29" xfId="0" applyFill="1" applyBorder="1"/>
    <xf numFmtId="0" fontId="0" fillId="20" borderId="0" xfId="0" applyFill="1"/>
    <xf numFmtId="0" fontId="0" fillId="0" borderId="0" xfId="0" applyAlignment="1">
      <alignment horizontal="left"/>
    </xf>
    <xf numFmtId="0" fontId="0" fillId="3" borderId="6" xfId="0" applyFill="1" applyBorder="1" applyAlignment="1">
      <alignment horizontal="left"/>
    </xf>
    <xf numFmtId="0" fontId="70" fillId="3" borderId="25" xfId="0" applyFont="1" applyFill="1" applyBorder="1" applyAlignment="1">
      <alignment horizontal="left"/>
    </xf>
    <xf numFmtId="0" fontId="0" fillId="20" borderId="1" xfId="0" applyFill="1" applyBorder="1" applyAlignment="1">
      <alignment horizontal="left" wrapText="1"/>
    </xf>
    <xf numFmtId="6" fontId="0" fillId="0" borderId="0" xfId="0" applyNumberFormat="1" applyAlignment="1">
      <alignment vertical="top"/>
    </xf>
    <xf numFmtId="9" fontId="0" fillId="0" borderId="3" xfId="0" applyNumberFormat="1" applyBorder="1" applyAlignment="1">
      <alignment horizontal="right"/>
    </xf>
    <xf numFmtId="0" fontId="0" fillId="0" borderId="3" xfId="0" applyBorder="1" applyAlignment="1">
      <alignment horizontal="left"/>
    </xf>
    <xf numFmtId="0" fontId="0" fillId="3" borderId="11" xfId="0" applyFill="1" applyBorder="1" applyAlignment="1">
      <alignment horizontal="left" vertical="center" wrapText="1"/>
    </xf>
    <xf numFmtId="0" fontId="0" fillId="22" borderId="11" xfId="0" applyFill="1" applyBorder="1" applyAlignment="1">
      <alignment wrapText="1"/>
    </xf>
    <xf numFmtId="169" fontId="0" fillId="3" borderId="14" xfId="0" applyNumberFormat="1" applyFill="1" applyBorder="1" applyAlignment="1">
      <alignment vertical="center"/>
    </xf>
    <xf numFmtId="169" fontId="0" fillId="5" borderId="35" xfId="4" applyNumberFormat="1" applyFont="1" applyFill="1" applyBorder="1"/>
    <xf numFmtId="169" fontId="0" fillId="25" borderId="35" xfId="4" applyNumberFormat="1" applyFont="1" applyFill="1" applyBorder="1"/>
    <xf numFmtId="0" fontId="0" fillId="0" borderId="0" xfId="0" applyAlignment="1">
      <alignment vertical="center" wrapText="1"/>
    </xf>
    <xf numFmtId="0" fontId="0" fillId="0" borderId="25" xfId="0" applyBorder="1" applyAlignment="1">
      <alignment vertical="center" wrapText="1"/>
    </xf>
    <xf numFmtId="175" fontId="0" fillId="3" borderId="4" xfId="1" applyNumberFormat="1" applyFont="1" applyFill="1" applyBorder="1" applyAlignment="1">
      <alignment horizontal="center" vertical="center" wrapText="1"/>
    </xf>
    <xf numFmtId="0" fontId="17" fillId="3" borderId="4" xfId="0" applyFont="1" applyFill="1" applyBorder="1" applyAlignment="1">
      <alignment horizontal="center"/>
    </xf>
    <xf numFmtId="10" fontId="0" fillId="0" borderId="3" xfId="0" applyNumberFormat="1" applyBorder="1" applyAlignment="1">
      <alignment vertical="center" wrapText="1"/>
    </xf>
    <xf numFmtId="0" fontId="0" fillId="3" borderId="3" xfId="0" applyFill="1" applyBorder="1" applyAlignment="1">
      <alignment horizontal="left" vertical="center" wrapText="1"/>
    </xf>
    <xf numFmtId="0" fontId="4" fillId="0" borderId="3" xfId="0" applyFont="1" applyBorder="1" applyAlignment="1">
      <alignment wrapText="1"/>
    </xf>
    <xf numFmtId="0" fontId="10" fillId="3" borderId="3" xfId="0" applyFont="1" applyFill="1" applyBorder="1" applyAlignment="1">
      <alignment vertical="top" wrapText="1"/>
    </xf>
    <xf numFmtId="0" fontId="0" fillId="3" borderId="10" xfId="0" applyFill="1" applyBorder="1" applyAlignment="1">
      <alignment vertical="center" wrapText="1"/>
    </xf>
    <xf numFmtId="0" fontId="70" fillId="3" borderId="24" xfId="0" applyFont="1" applyFill="1" applyBorder="1"/>
    <xf numFmtId="0" fontId="70" fillId="3" borderId="30" xfId="0" applyFont="1" applyFill="1" applyBorder="1" applyAlignment="1">
      <alignment vertical="center"/>
    </xf>
    <xf numFmtId="0" fontId="10" fillId="11" borderId="8" xfId="0" applyFont="1" applyFill="1" applyBorder="1"/>
    <xf numFmtId="0" fontId="131" fillId="25" borderId="7" xfId="0" applyFont="1" applyFill="1" applyBorder="1"/>
    <xf numFmtId="169" fontId="10" fillId="11" borderId="24" xfId="4" applyNumberFormat="1" applyFont="1" applyFill="1" applyBorder="1"/>
    <xf numFmtId="0" fontId="10" fillId="11" borderId="6" xfId="0" applyFont="1" applyFill="1" applyBorder="1"/>
    <xf numFmtId="0" fontId="132" fillId="25" borderId="44" xfId="0" applyFont="1" applyFill="1" applyBorder="1"/>
    <xf numFmtId="169" fontId="10" fillId="11" borderId="35" xfId="4" applyNumberFormat="1" applyFont="1" applyFill="1" applyBorder="1"/>
    <xf numFmtId="0" fontId="0" fillId="28" borderId="0" xfId="0" applyFill="1"/>
    <xf numFmtId="0" fontId="0" fillId="3" borderId="0" xfId="0" applyFill="1" applyAlignment="1">
      <alignment horizontal="right"/>
    </xf>
    <xf numFmtId="14" fontId="13" fillId="11" borderId="0" xfId="0" applyNumberFormat="1" applyFont="1" applyFill="1" applyAlignment="1">
      <alignment horizontal="center"/>
    </xf>
    <xf numFmtId="0" fontId="0" fillId="11" borderId="0" xfId="0" applyFill="1"/>
    <xf numFmtId="0" fontId="0" fillId="11" borderId="0" xfId="0" applyFill="1" applyAlignment="1">
      <alignment vertical="center"/>
    </xf>
    <xf numFmtId="0" fontId="27" fillId="3" borderId="0" xfId="0" applyFont="1" applyFill="1" applyAlignment="1">
      <alignment horizontal="center" wrapText="1"/>
    </xf>
    <xf numFmtId="0" fontId="28" fillId="3" borderId="0" xfId="0" applyFont="1" applyFill="1" applyAlignment="1">
      <alignment horizontal="center"/>
    </xf>
    <xf numFmtId="0" fontId="83" fillId="24" borderId="8" xfId="5" applyFont="1" applyFill="1" applyBorder="1" applyAlignment="1">
      <alignment horizontal="left" vertical="center" wrapText="1"/>
    </xf>
    <xf numFmtId="0" fontId="83" fillId="24" borderId="29" xfId="5" applyFont="1" applyFill="1" applyBorder="1" applyAlignment="1">
      <alignment horizontal="left" vertical="center" wrapText="1"/>
    </xf>
    <xf numFmtId="0" fontId="83" fillId="24" borderId="24" xfId="5" applyFont="1" applyFill="1" applyBorder="1" applyAlignment="1">
      <alignment horizontal="left" vertical="center" wrapText="1"/>
    </xf>
    <xf numFmtId="0" fontId="83" fillId="24" borderId="6" xfId="0" applyFont="1" applyFill="1" applyBorder="1" applyAlignment="1">
      <alignment horizontal="center" wrapText="1"/>
    </xf>
    <xf numFmtId="0" fontId="82" fillId="24" borderId="0" xfId="0" applyFont="1" applyFill="1" applyAlignment="1">
      <alignment horizontal="center" wrapText="1"/>
    </xf>
    <xf numFmtId="0" fontId="82" fillId="24" borderId="25" xfId="0" applyFont="1" applyFill="1" applyBorder="1" applyAlignment="1">
      <alignment horizontal="center" wrapText="1"/>
    </xf>
    <xf numFmtId="0" fontId="85" fillId="0" borderId="6" xfId="0" applyFont="1" applyBorder="1" applyAlignment="1">
      <alignment horizontal="center"/>
    </xf>
    <xf numFmtId="0" fontId="85" fillId="0" borderId="0" xfId="0" applyFont="1" applyAlignment="1">
      <alignment horizontal="center"/>
    </xf>
    <xf numFmtId="0" fontId="85" fillId="0" borderId="25" xfId="0" applyFont="1" applyBorder="1" applyAlignment="1">
      <alignment horizontal="center"/>
    </xf>
    <xf numFmtId="0" fontId="0" fillId="3" borderId="6" xfId="0" applyFill="1" applyBorder="1" applyAlignment="1">
      <alignment horizontal="left" vertical="top" wrapText="1"/>
    </xf>
    <xf numFmtId="0" fontId="0" fillId="3" borderId="0" xfId="0" applyFill="1" applyAlignment="1">
      <alignment horizontal="left" vertical="top" wrapText="1"/>
    </xf>
    <xf numFmtId="0" fontId="0" fillId="3" borderId="25" xfId="0" applyFill="1" applyBorder="1" applyAlignment="1">
      <alignment horizontal="left" vertical="top" wrapText="1"/>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0" fillId="3" borderId="6" xfId="0" applyFill="1" applyBorder="1" applyAlignment="1">
      <alignment horizontal="left" wrapText="1"/>
    </xf>
    <xf numFmtId="0" fontId="0" fillId="3" borderId="0" xfId="0" applyFill="1" applyAlignment="1">
      <alignment horizontal="left" wrapText="1"/>
    </xf>
    <xf numFmtId="0" fontId="0" fillId="3" borderId="6" xfId="0" applyFill="1" applyBorder="1" applyAlignment="1">
      <alignment wrapText="1"/>
    </xf>
    <xf numFmtId="0" fontId="0" fillId="0" borderId="0" xfId="0" applyAlignment="1">
      <alignment wrapText="1"/>
    </xf>
    <xf numFmtId="0" fontId="0" fillId="0" borderId="25" xfId="0" applyBorder="1" applyAlignment="1">
      <alignment wrapText="1"/>
    </xf>
    <xf numFmtId="0" fontId="10" fillId="0" borderId="6" xfId="0" applyFont="1" applyBorder="1" applyAlignment="1">
      <alignment wrapText="1"/>
    </xf>
    <xf numFmtId="0" fontId="10" fillId="0" borderId="0" xfId="0" applyFont="1" applyAlignment="1">
      <alignment wrapText="1"/>
    </xf>
    <xf numFmtId="0" fontId="10" fillId="0" borderId="25" xfId="0" applyFont="1" applyBorder="1" applyAlignment="1">
      <alignment wrapText="1"/>
    </xf>
    <xf numFmtId="0" fontId="79" fillId="23" borderId="8" xfId="5" applyFont="1" applyFill="1" applyBorder="1" applyAlignment="1">
      <alignment horizontal="left" vertical="center" wrapText="1"/>
    </xf>
    <xf numFmtId="0" fontId="79" fillId="23" borderId="29" xfId="5" applyFont="1" applyFill="1" applyBorder="1" applyAlignment="1">
      <alignment horizontal="left" vertical="center" wrapText="1"/>
    </xf>
    <xf numFmtId="0" fontId="7" fillId="3" borderId="8" xfId="0" applyFont="1" applyFill="1" applyBorder="1" applyAlignment="1">
      <alignment horizontal="center"/>
    </xf>
    <xf numFmtId="0" fontId="7" fillId="3" borderId="29" xfId="0" applyFont="1" applyFill="1" applyBorder="1" applyAlignment="1">
      <alignment horizontal="center"/>
    </xf>
    <xf numFmtId="0" fontId="7" fillId="3" borderId="24" xfId="0" applyFont="1" applyFill="1" applyBorder="1" applyAlignment="1">
      <alignment horizontal="center"/>
    </xf>
    <xf numFmtId="0" fontId="0" fillId="3" borderId="7" xfId="0" applyFill="1" applyBorder="1" applyAlignment="1">
      <alignment vertical="center"/>
    </xf>
    <xf numFmtId="0" fontId="0" fillId="0" borderId="12" xfId="0" applyBorder="1" applyAlignment="1">
      <alignment vertical="center"/>
    </xf>
    <xf numFmtId="0" fontId="15" fillId="3" borderId="6" xfId="0" applyFont="1" applyFill="1" applyBorder="1" applyAlignment="1">
      <alignment horizontal="left" wrapText="1"/>
    </xf>
    <xf numFmtId="0" fontId="15" fillId="3" borderId="0" xfId="0" applyFont="1" applyFill="1" applyAlignment="1">
      <alignment horizontal="left" wrapText="1"/>
    </xf>
    <xf numFmtId="0" fontId="15" fillId="3" borderId="25" xfId="0" applyFont="1" applyFill="1" applyBorder="1" applyAlignment="1">
      <alignment horizontal="left" wrapText="1"/>
    </xf>
    <xf numFmtId="0" fontId="0" fillId="3" borderId="7" xfId="0" applyFill="1" applyBorder="1" applyAlignment="1">
      <alignment horizontal="left" vertical="center" wrapText="1"/>
    </xf>
    <xf numFmtId="0" fontId="0" fillId="3" borderId="9" xfId="0" applyFill="1" applyBorder="1" applyAlignment="1">
      <alignment horizontal="left" vertical="center" wrapText="1"/>
    </xf>
    <xf numFmtId="0" fontId="0" fillId="3" borderId="12" xfId="0" applyFill="1"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17" fillId="28" borderId="6" xfId="0" applyFont="1" applyFill="1" applyBorder="1" applyAlignment="1">
      <alignment horizontal="left" vertical="center" wrapText="1"/>
    </xf>
    <xf numFmtId="0" fontId="17" fillId="28" borderId="0" xfId="0" applyFont="1" applyFill="1" applyAlignment="1">
      <alignment horizontal="left" vertical="center" wrapText="1"/>
    </xf>
    <xf numFmtId="0" fontId="17" fillId="28" borderId="25" xfId="0" applyFont="1" applyFill="1" applyBorder="1" applyAlignment="1">
      <alignment horizontal="left" vertical="center" wrapText="1"/>
    </xf>
    <xf numFmtId="0" fontId="0" fillId="3" borderId="8" xfId="0" applyFill="1" applyBorder="1" applyAlignment="1">
      <alignment horizontal="left" vertical="top" wrapText="1"/>
    </xf>
    <xf numFmtId="0" fontId="0" fillId="3" borderId="29" xfId="0" applyFill="1" applyBorder="1" applyAlignment="1">
      <alignment horizontal="left" vertical="top" wrapText="1"/>
    </xf>
    <xf numFmtId="0" fontId="0" fillId="3" borderId="24" xfId="0" applyFill="1" applyBorder="1" applyAlignment="1">
      <alignment horizontal="left" vertical="top" wrapText="1"/>
    </xf>
    <xf numFmtId="0" fontId="79" fillId="23" borderId="8" xfId="5" applyFont="1" applyFill="1" applyBorder="1" applyAlignment="1">
      <alignment horizontal="left" wrapText="1"/>
    </xf>
    <xf numFmtId="0" fontId="79" fillId="23" borderId="29" xfId="5" applyFont="1" applyFill="1" applyBorder="1" applyAlignment="1">
      <alignment horizontal="left" wrapText="1"/>
    </xf>
    <xf numFmtId="0" fontId="66" fillId="21" borderId="1" xfId="0" applyFont="1" applyFill="1" applyBorder="1" applyAlignment="1">
      <alignment horizontal="left" vertical="top" wrapText="1"/>
    </xf>
    <xf numFmtId="0" fontId="66" fillId="21" borderId="4" xfId="0" applyFont="1" applyFill="1" applyBorder="1" applyAlignment="1">
      <alignment horizontal="left" vertical="top" wrapText="1"/>
    </xf>
    <xf numFmtId="0" fontId="66" fillId="21" borderId="2" xfId="0" applyFont="1" applyFill="1" applyBorder="1" applyAlignment="1">
      <alignment horizontal="left" vertical="top" wrapText="1"/>
    </xf>
    <xf numFmtId="0" fontId="89" fillId="11" borderId="1" xfId="0" applyFont="1" applyFill="1" applyBorder="1" applyAlignment="1">
      <alignment horizontal="left" vertical="center"/>
    </xf>
    <xf numFmtId="0" fontId="89" fillId="11" borderId="4" xfId="0" applyFont="1" applyFill="1" applyBorder="1" applyAlignment="1">
      <alignment horizontal="left" vertical="center"/>
    </xf>
    <xf numFmtId="0" fontId="89" fillId="11" borderId="2" xfId="0" applyFont="1" applyFill="1" applyBorder="1" applyAlignment="1">
      <alignment horizontal="left" vertical="center"/>
    </xf>
    <xf numFmtId="0" fontId="17" fillId="28" borderId="8" xfId="0" applyFont="1" applyFill="1" applyBorder="1" applyAlignment="1">
      <alignment horizontal="left" vertical="center" wrapText="1"/>
    </xf>
    <xf numFmtId="0" fontId="17" fillId="28" borderId="29" xfId="0" applyFont="1" applyFill="1" applyBorder="1" applyAlignment="1">
      <alignment horizontal="left" vertical="center" wrapText="1"/>
    </xf>
    <xf numFmtId="0" fontId="17" fillId="28" borderId="24"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29"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90" fillId="3" borderId="8" xfId="0" applyFont="1" applyFill="1" applyBorder="1" applyAlignment="1">
      <alignment horizontal="left" vertical="center" wrapText="1"/>
    </xf>
    <xf numFmtId="0" fontId="90" fillId="3" borderId="29" xfId="0" applyFont="1" applyFill="1" applyBorder="1" applyAlignment="1">
      <alignment horizontal="left" vertical="center" wrapText="1"/>
    </xf>
    <xf numFmtId="0" fontId="90" fillId="3" borderId="24" xfId="0" applyFont="1" applyFill="1" applyBorder="1" applyAlignment="1">
      <alignment horizontal="left" vertical="center" wrapText="1"/>
    </xf>
    <xf numFmtId="0" fontId="42" fillId="12" borderId="1" xfId="0" applyFont="1" applyFill="1" applyBorder="1" applyAlignment="1">
      <alignment horizontal="center" vertical="center" wrapText="1"/>
    </xf>
    <xf numFmtId="0" fontId="42" fillId="12" borderId="2" xfId="0" applyFont="1" applyFill="1" applyBorder="1" applyAlignment="1">
      <alignment horizontal="center" vertical="center" wrapText="1"/>
    </xf>
    <xf numFmtId="0" fontId="5" fillId="3" borderId="6" xfId="0" applyFont="1" applyFill="1" applyBorder="1" applyAlignment="1">
      <alignment horizontal="left" vertical="top" wrapText="1"/>
    </xf>
    <xf numFmtId="0" fontId="5" fillId="3" borderId="0" xfId="0" applyFont="1" applyFill="1" applyAlignment="1">
      <alignment horizontal="left" vertical="top" wrapText="1"/>
    </xf>
    <xf numFmtId="0" fontId="5" fillId="3" borderId="25" xfId="0" applyFont="1" applyFill="1" applyBorder="1" applyAlignment="1">
      <alignment horizontal="left" vertical="top" wrapText="1"/>
    </xf>
    <xf numFmtId="0" fontId="3" fillId="3" borderId="0" xfId="0" applyFont="1" applyFill="1" applyAlignment="1">
      <alignment horizontal="center" wrapText="1"/>
    </xf>
    <xf numFmtId="0" fontId="0" fillId="3" borderId="8" xfId="0" applyFill="1" applyBorder="1" applyAlignment="1">
      <alignment horizontal="left" vertical="center" wrapText="1"/>
    </xf>
    <xf numFmtId="0" fontId="0" fillId="3" borderId="29" xfId="0" applyFill="1" applyBorder="1" applyAlignment="1">
      <alignment horizontal="left" vertical="center" wrapText="1"/>
    </xf>
    <xf numFmtId="0" fontId="0" fillId="3" borderId="24" xfId="0" applyFill="1" applyBorder="1" applyAlignment="1">
      <alignment horizontal="left" vertical="center" wrapText="1"/>
    </xf>
    <xf numFmtId="0" fontId="88" fillId="11" borderId="1" xfId="5" applyFont="1" applyFill="1" applyBorder="1" applyAlignment="1">
      <alignment horizontal="left"/>
    </xf>
    <xf numFmtId="0" fontId="88" fillId="11" borderId="4" xfId="5" applyFont="1" applyFill="1" applyBorder="1" applyAlignment="1">
      <alignment horizontal="left"/>
    </xf>
    <xf numFmtId="0" fontId="88" fillId="11" borderId="2" xfId="5" applyFont="1" applyFill="1" applyBorder="1" applyAlignment="1">
      <alignment horizontal="left"/>
    </xf>
    <xf numFmtId="0" fontId="86" fillId="23" borderId="8" xfId="5" applyFont="1" applyFill="1" applyBorder="1" applyAlignment="1">
      <alignment horizontal="left" vertical="center" wrapText="1"/>
    </xf>
    <xf numFmtId="0" fontId="86" fillId="23" borderId="29" xfId="5" applyFont="1" applyFill="1" applyBorder="1" applyAlignment="1">
      <alignment horizontal="left" vertical="center"/>
    </xf>
    <xf numFmtId="0" fontId="86" fillId="23" borderId="24" xfId="5" applyFont="1" applyFill="1" applyBorder="1" applyAlignment="1">
      <alignment horizontal="left" vertical="center"/>
    </xf>
    <xf numFmtId="0" fontId="0" fillId="3" borderId="8" xfId="0" applyFill="1" applyBorder="1" applyAlignment="1">
      <alignment wrapText="1"/>
    </xf>
    <xf numFmtId="0" fontId="0" fillId="3" borderId="29" xfId="0" applyFill="1" applyBorder="1" applyAlignment="1">
      <alignment wrapText="1"/>
    </xf>
    <xf numFmtId="0" fontId="0" fillId="3" borderId="24" xfId="0" applyFill="1" applyBorder="1" applyAlignment="1">
      <alignment wrapText="1"/>
    </xf>
    <xf numFmtId="0" fontId="0" fillId="3" borderId="0" xfId="0" applyFill="1" applyAlignment="1">
      <alignment wrapText="1"/>
    </xf>
    <xf numFmtId="0" fontId="17" fillId="28" borderId="6" xfId="0" applyFont="1" applyFill="1" applyBorder="1" applyAlignment="1">
      <alignment horizontal="left" wrapText="1"/>
    </xf>
    <xf numFmtId="0" fontId="17" fillId="28" borderId="0" xfId="0" applyFont="1" applyFill="1" applyAlignment="1">
      <alignment horizontal="left" wrapText="1"/>
    </xf>
    <xf numFmtId="0" fontId="17" fillId="28" borderId="25" xfId="0" applyFont="1" applyFill="1" applyBorder="1" applyAlignment="1">
      <alignment horizontal="left" wrapText="1"/>
    </xf>
    <xf numFmtId="0" fontId="72" fillId="3" borderId="0" xfId="0" applyFont="1" applyFill="1" applyAlignment="1">
      <alignment horizontal="left" wrapText="1"/>
    </xf>
    <xf numFmtId="0" fontId="79" fillId="23" borderId="0" xfId="5" applyFont="1" applyFill="1" applyBorder="1" applyAlignment="1">
      <alignment horizontal="left" vertical="center" wrapText="1"/>
    </xf>
    <xf numFmtId="0" fontId="79" fillId="23" borderId="0" xfId="5" applyFont="1" applyFill="1" applyBorder="1" applyAlignment="1">
      <alignment horizontal="left" vertical="center"/>
    </xf>
    <xf numFmtId="0" fontId="0" fillId="21" borderId="6" xfId="0" applyFill="1" applyBorder="1" applyAlignment="1">
      <alignment horizontal="left" vertical="center" wrapText="1"/>
    </xf>
    <xf numFmtId="0" fontId="0" fillId="21" borderId="0" xfId="0" applyFill="1" applyAlignment="1">
      <alignment horizontal="left" vertical="center" wrapText="1"/>
    </xf>
    <xf numFmtId="0" fontId="0" fillId="21" borderId="25" xfId="0" applyFill="1" applyBorder="1" applyAlignment="1">
      <alignment horizontal="left" vertical="center" wrapText="1"/>
    </xf>
    <xf numFmtId="0" fontId="0" fillId="3" borderId="8" xfId="0" applyFill="1" applyBorder="1" applyAlignment="1">
      <alignment horizontal="left" wrapText="1"/>
    </xf>
    <xf numFmtId="0" fontId="0" fillId="3" borderId="29" xfId="0" applyFill="1" applyBorder="1" applyAlignment="1">
      <alignment horizontal="left" wrapText="1"/>
    </xf>
    <xf numFmtId="0" fontId="0" fillId="3" borderId="24" xfId="0" applyFill="1" applyBorder="1" applyAlignment="1">
      <alignment horizontal="left" wrapText="1"/>
    </xf>
    <xf numFmtId="0" fontId="6" fillId="3" borderId="0" xfId="0" applyFont="1" applyFill="1" applyAlignment="1">
      <alignment vertical="top" wrapText="1"/>
    </xf>
    <xf numFmtId="0" fontId="6" fillId="0" borderId="0" xfId="0" applyFont="1" applyAlignment="1">
      <alignment vertical="top" wrapText="1"/>
    </xf>
    <xf numFmtId="0" fontId="70" fillId="11" borderId="6" xfId="0" applyFont="1" applyFill="1" applyBorder="1" applyAlignment="1">
      <alignment horizontal="left" vertical="center" wrapText="1"/>
    </xf>
    <xf numFmtId="0" fontId="70" fillId="11" borderId="0" xfId="0" applyFont="1" applyFill="1" applyAlignment="1">
      <alignment horizontal="left" vertical="center" wrapText="1"/>
    </xf>
    <xf numFmtId="0" fontId="70" fillId="11" borderId="10" xfId="0" applyFont="1" applyFill="1" applyBorder="1" applyAlignment="1">
      <alignment horizontal="left" vertical="center" wrapText="1"/>
    </xf>
    <xf numFmtId="0" fontId="70" fillId="11" borderId="11" xfId="0" applyFont="1" applyFill="1" applyBorder="1" applyAlignment="1">
      <alignment horizontal="left" vertical="center" wrapText="1"/>
    </xf>
    <xf numFmtId="0" fontId="70" fillId="3" borderId="6" xfId="0" applyFont="1" applyFill="1" applyBorder="1" applyAlignment="1">
      <alignment horizontal="left" vertical="center" wrapText="1"/>
    </xf>
    <xf numFmtId="0" fontId="70" fillId="3" borderId="0" xfId="0" applyFont="1" applyFill="1" applyAlignment="1">
      <alignment horizontal="left" vertical="center" wrapText="1"/>
    </xf>
    <xf numFmtId="0" fontId="70" fillId="11" borderId="8" xfId="0" applyFont="1" applyFill="1" applyBorder="1" applyAlignment="1">
      <alignment horizontal="left" vertical="center" wrapText="1"/>
    </xf>
    <xf numFmtId="0" fontId="70" fillId="11" borderId="29" xfId="0" applyFont="1" applyFill="1" applyBorder="1" applyAlignment="1">
      <alignment horizontal="left" vertical="center" wrapText="1"/>
    </xf>
    <xf numFmtId="0" fontId="90" fillId="3" borderId="8" xfId="0" applyFont="1" applyFill="1" applyBorder="1" applyAlignment="1">
      <alignment horizontal="left" wrapText="1"/>
    </xf>
    <xf numFmtId="0" fontId="90" fillId="3" borderId="29" xfId="0" applyFont="1" applyFill="1" applyBorder="1" applyAlignment="1">
      <alignment horizontal="left" wrapText="1"/>
    </xf>
    <xf numFmtId="0" fontId="90" fillId="3" borderId="24" xfId="0" applyFont="1" applyFill="1" applyBorder="1" applyAlignment="1">
      <alignment horizontal="left" wrapText="1"/>
    </xf>
    <xf numFmtId="0" fontId="117" fillId="3" borderId="7" xfId="0" applyFont="1" applyFill="1" applyBorder="1" applyAlignment="1">
      <alignment horizontal="center" wrapText="1"/>
    </xf>
    <xf numFmtId="0" fontId="70" fillId="3" borderId="12" xfId="0" applyFont="1" applyFill="1" applyBorder="1" applyAlignment="1">
      <alignment horizontal="center"/>
    </xf>
    <xf numFmtId="0" fontId="117" fillId="3" borderId="8" xfId="0" applyFont="1" applyFill="1" applyBorder="1" applyAlignment="1">
      <alignment horizontal="left" wrapText="1"/>
    </xf>
    <xf numFmtId="0" fontId="117" fillId="3" borderId="29" xfId="0" applyFont="1" applyFill="1" applyBorder="1" applyAlignment="1">
      <alignment horizontal="left" wrapText="1"/>
    </xf>
    <xf numFmtId="0" fontId="117" fillId="3" borderId="10" xfId="0" applyFont="1" applyFill="1" applyBorder="1" applyAlignment="1">
      <alignment horizontal="left" wrapText="1"/>
    </xf>
    <xf numFmtId="0" fontId="117" fillId="3" borderId="11" xfId="0" applyFont="1" applyFill="1" applyBorder="1" applyAlignment="1">
      <alignment horizontal="left" wrapText="1"/>
    </xf>
    <xf numFmtId="0" fontId="4" fillId="3" borderId="1" xfId="0" applyFont="1" applyFill="1"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4" fillId="3" borderId="7" xfId="0" applyFont="1" applyFill="1" applyBorder="1" applyAlignment="1">
      <alignment wrapText="1"/>
    </xf>
    <xf numFmtId="0" fontId="0" fillId="0" borderId="12" xfId="0" applyBorder="1"/>
    <xf numFmtId="0" fontId="4" fillId="3" borderId="7" xfId="0" applyFont="1" applyFill="1" applyBorder="1" applyAlignment="1">
      <alignment horizontal="center" wrapText="1"/>
    </xf>
    <xf numFmtId="0" fontId="0" fillId="0" borderId="12" xfId="0" applyBorder="1" applyAlignment="1">
      <alignment horizontal="center"/>
    </xf>
    <xf numFmtId="0" fontId="0" fillId="3" borderId="1" xfId="0" applyFill="1" applyBorder="1" applyAlignment="1">
      <alignment horizontal="center" vertical="center"/>
    </xf>
    <xf numFmtId="0" fontId="0" fillId="3" borderId="25" xfId="0" applyFill="1" applyBorder="1" applyAlignment="1">
      <alignment horizontal="left" wrapText="1"/>
    </xf>
    <xf numFmtId="0" fontId="10" fillId="3" borderId="8" xfId="0" applyFont="1" applyFill="1" applyBorder="1" applyAlignment="1">
      <alignment horizontal="left" vertical="center" wrapText="1"/>
    </xf>
    <xf numFmtId="0" fontId="10" fillId="3" borderId="29"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79" fillId="23" borderId="0" xfId="5" applyFont="1" applyFill="1" applyAlignment="1">
      <alignment horizontal="left" wrapText="1"/>
    </xf>
    <xf numFmtId="0" fontId="0" fillId="3" borderId="25" xfId="0" applyFill="1" applyBorder="1" applyAlignment="1">
      <alignment horizontal="left" vertical="center" wrapText="1"/>
    </xf>
    <xf numFmtId="0" fontId="0" fillId="3" borderId="7" xfId="0" applyFill="1" applyBorder="1" applyAlignment="1">
      <alignment vertical="center" wrapText="1"/>
    </xf>
    <xf numFmtId="0" fontId="0" fillId="0" borderId="9" xfId="0" applyBorder="1" applyAlignment="1">
      <alignment vertical="center" wrapText="1"/>
    </xf>
    <xf numFmtId="0" fontId="0" fillId="0" borderId="12" xfId="0" applyBorder="1" applyAlignment="1">
      <alignment vertical="center" wrapText="1"/>
    </xf>
    <xf numFmtId="0" fontId="7" fillId="3" borderId="7" xfId="0" applyFont="1" applyFill="1" applyBorder="1" applyAlignment="1">
      <alignment wrapText="1"/>
    </xf>
    <xf numFmtId="0" fontId="6" fillId="0" borderId="12" xfId="0" applyFont="1" applyBorder="1" applyAlignment="1">
      <alignment wrapText="1"/>
    </xf>
    <xf numFmtId="0" fontId="7" fillId="3" borderId="7" xfId="0"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7" xfId="0" applyFont="1" applyFill="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7" fillId="3" borderId="0" xfId="0" applyFont="1" applyFill="1" applyAlignment="1">
      <alignment wrapText="1"/>
    </xf>
    <xf numFmtId="0" fontId="7" fillId="0" borderId="0" xfId="0" applyFont="1" applyAlignment="1">
      <alignment wrapText="1"/>
    </xf>
    <xf numFmtId="0" fontId="6" fillId="21" borderId="1" xfId="0" applyFont="1" applyFill="1" applyBorder="1" applyAlignment="1">
      <alignment horizontal="center" vertical="center" wrapText="1"/>
    </xf>
    <xf numFmtId="0" fontId="6" fillId="21" borderId="4" xfId="0" applyFont="1" applyFill="1" applyBorder="1" applyAlignment="1">
      <alignment horizontal="center" vertical="center" wrapText="1"/>
    </xf>
    <xf numFmtId="0" fontId="6" fillId="21" borderId="2" xfId="0" applyFont="1" applyFill="1" applyBorder="1" applyAlignment="1">
      <alignment horizontal="center" vertical="center" wrapText="1"/>
    </xf>
    <xf numFmtId="0" fontId="6" fillId="11" borderId="1" xfId="0" applyFont="1" applyFill="1" applyBorder="1" applyAlignment="1">
      <alignment vertical="top" wrapText="1"/>
    </xf>
    <xf numFmtId="0" fontId="6" fillId="11" borderId="4" xfId="0" applyFont="1" applyFill="1" applyBorder="1" applyAlignment="1">
      <alignment vertical="top" wrapText="1"/>
    </xf>
    <xf numFmtId="0" fontId="6" fillId="11" borderId="2" xfId="0" applyFont="1" applyFill="1" applyBorder="1" applyAlignment="1">
      <alignment vertical="top" wrapText="1"/>
    </xf>
    <xf numFmtId="0" fontId="6" fillId="3" borderId="8" xfId="0" applyFont="1" applyFill="1" applyBorder="1" applyAlignment="1">
      <alignment horizontal="left" wrapText="1"/>
    </xf>
    <xf numFmtId="0" fontId="6" fillId="3" borderId="29" xfId="0" applyFont="1" applyFill="1" applyBorder="1" applyAlignment="1">
      <alignment horizontal="left" wrapText="1"/>
    </xf>
    <xf numFmtId="0" fontId="6" fillId="3" borderId="24" xfId="0" applyFont="1" applyFill="1" applyBorder="1" applyAlignment="1">
      <alignment horizontal="left" wrapText="1"/>
    </xf>
    <xf numFmtId="0" fontId="10" fillId="21" borderId="1" xfId="0" applyFont="1" applyFill="1" applyBorder="1" applyAlignment="1">
      <alignment horizontal="center" vertical="top" wrapText="1"/>
    </xf>
    <xf numFmtId="0" fontId="10" fillId="21" borderId="4" xfId="0" applyFont="1" applyFill="1" applyBorder="1" applyAlignment="1">
      <alignment horizontal="center" vertical="top" wrapText="1"/>
    </xf>
    <xf numFmtId="0" fontId="10" fillId="21" borderId="2" xfId="0" applyFont="1" applyFill="1" applyBorder="1" applyAlignment="1">
      <alignment horizontal="center" vertical="top" wrapText="1"/>
    </xf>
    <xf numFmtId="0" fontId="79" fillId="23" borderId="0" xfId="5" applyFont="1" applyFill="1" applyBorder="1" applyAlignment="1">
      <alignment horizontal="left" wrapText="1"/>
    </xf>
    <xf numFmtId="0" fontId="36" fillId="0" borderId="0" xfId="0" applyFont="1" applyAlignment="1">
      <alignment horizontal="left" vertical="top" wrapText="1"/>
    </xf>
    <xf numFmtId="0" fontId="0" fillId="3" borderId="8" xfId="0" applyFill="1"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xf>
    <xf numFmtId="0" fontId="10" fillId="21" borderId="1" xfId="0" applyFont="1" applyFill="1" applyBorder="1" applyAlignment="1">
      <alignment horizontal="left" vertical="top" wrapText="1"/>
    </xf>
    <xf numFmtId="0" fontId="10" fillId="21" borderId="4" xfId="0" applyFont="1" applyFill="1" applyBorder="1" applyAlignment="1">
      <alignment horizontal="left" vertical="top" wrapText="1"/>
    </xf>
    <xf numFmtId="0" fontId="10" fillId="21" borderId="2" xfId="0" applyFont="1" applyFill="1" applyBorder="1" applyAlignment="1">
      <alignment horizontal="left" vertical="top" wrapText="1"/>
    </xf>
    <xf numFmtId="0" fontId="3" fillId="3" borderId="6" xfId="0" applyFont="1" applyFill="1" applyBorder="1" applyAlignment="1">
      <alignment horizontal="left" vertical="center" wrapText="1"/>
    </xf>
    <xf numFmtId="0" fontId="3" fillId="3" borderId="0" xfId="0" applyFont="1" applyFill="1" applyAlignment="1">
      <alignment horizontal="left" vertical="center" wrapText="1"/>
    </xf>
    <xf numFmtId="0" fontId="79" fillId="22" borderId="8" xfId="5" applyFont="1" applyFill="1" applyBorder="1" applyAlignment="1">
      <alignment vertical="center" wrapText="1"/>
    </xf>
    <xf numFmtId="0" fontId="79" fillId="22" borderId="29" xfId="5" applyFont="1" applyFill="1" applyBorder="1" applyAlignment="1">
      <alignment vertical="center"/>
    </xf>
    <xf numFmtId="0" fontId="79" fillId="22" borderId="24" xfId="5" applyFont="1" applyFill="1" applyBorder="1" applyAlignment="1">
      <alignment vertical="center"/>
    </xf>
    <xf numFmtId="0" fontId="0" fillId="21" borderId="1" xfId="0" applyFill="1" applyBorder="1" applyAlignment="1">
      <alignment vertical="center" wrapText="1"/>
    </xf>
    <xf numFmtId="0" fontId="0" fillId="21" borderId="4" xfId="0" applyFill="1" applyBorder="1" applyAlignment="1">
      <alignment vertical="center" wrapText="1"/>
    </xf>
    <xf numFmtId="0" fontId="0" fillId="21" borderId="2" xfId="0" applyFill="1" applyBorder="1" applyAlignment="1">
      <alignment vertical="center" wrapText="1"/>
    </xf>
    <xf numFmtId="0" fontId="10" fillId="3" borderId="1" xfId="0" applyFont="1" applyFill="1" applyBorder="1" applyAlignment="1">
      <alignment vertical="center" wrapText="1"/>
    </xf>
    <xf numFmtId="0" fontId="10" fillId="3" borderId="4" xfId="0" applyFont="1" applyFill="1" applyBorder="1" applyAlignment="1">
      <alignment vertical="center" wrapText="1"/>
    </xf>
    <xf numFmtId="0" fontId="10" fillId="3" borderId="2" xfId="0" applyFont="1" applyFill="1" applyBorder="1" applyAlignment="1">
      <alignment vertical="center" wrapText="1"/>
    </xf>
    <xf numFmtId="0" fontId="79" fillId="22" borderId="8" xfId="5" applyFont="1" applyFill="1" applyBorder="1" applyAlignment="1">
      <alignment horizontal="left" vertical="center" wrapText="1"/>
    </xf>
    <xf numFmtId="0" fontId="79" fillId="22" borderId="29" xfId="5" applyFont="1" applyFill="1" applyBorder="1" applyAlignment="1">
      <alignment horizontal="left" vertical="center" wrapText="1"/>
    </xf>
    <xf numFmtId="0" fontId="0" fillId="0" borderId="8" xfId="0" applyBorder="1" applyAlignment="1">
      <alignment horizontal="left" wrapText="1"/>
    </xf>
    <xf numFmtId="0" fontId="0" fillId="0" borderId="29" xfId="0" applyBorder="1" applyAlignment="1">
      <alignment horizontal="left" wrapText="1"/>
    </xf>
    <xf numFmtId="0" fontId="0" fillId="0" borderId="24" xfId="0" applyBorder="1" applyAlignment="1">
      <alignment horizontal="left" wrapText="1"/>
    </xf>
    <xf numFmtId="0" fontId="125" fillId="13" borderId="1" xfId="0" applyFont="1" applyFill="1" applyBorder="1" applyAlignment="1">
      <alignment horizontal="left" vertical="center"/>
    </xf>
    <xf numFmtId="0" fontId="125" fillId="13" borderId="4" xfId="0" applyFont="1" applyFill="1" applyBorder="1" applyAlignment="1">
      <alignment horizontal="left" vertical="center"/>
    </xf>
    <xf numFmtId="0" fontId="79" fillId="22" borderId="6" xfId="5" applyFont="1" applyFill="1" applyBorder="1" applyAlignment="1">
      <alignment horizontal="left" vertical="center" wrapText="1"/>
    </xf>
    <xf numFmtId="0" fontId="79" fillId="22" borderId="0" xfId="5" applyFont="1" applyFill="1" applyBorder="1" applyAlignment="1">
      <alignment horizontal="left" vertical="center" wrapText="1"/>
    </xf>
    <xf numFmtId="0" fontId="2" fillId="2" borderId="3" xfId="3" applyBorder="1" applyAlignment="1">
      <alignment vertical="center"/>
    </xf>
    <xf numFmtId="0" fontId="4" fillId="3" borderId="3" xfId="0" applyFont="1" applyFill="1" applyBorder="1" applyAlignment="1">
      <alignment horizontal="left" vertical="center"/>
    </xf>
    <xf numFmtId="0" fontId="0" fillId="3" borderId="3" xfId="0" applyFill="1" applyBorder="1" applyAlignment="1">
      <alignment vertical="center"/>
    </xf>
    <xf numFmtId="0" fontId="117" fillId="3" borderId="3" xfId="0" applyFont="1" applyFill="1" applyBorder="1" applyAlignment="1">
      <alignment horizontal="left" vertical="center"/>
    </xf>
    <xf numFmtId="0" fontId="88" fillId="11" borderId="10" xfId="5" applyFont="1" applyFill="1" applyBorder="1" applyAlignment="1">
      <alignment horizontal="left"/>
    </xf>
    <xf numFmtId="0" fontId="88" fillId="11" borderId="11" xfId="5" applyFont="1" applyFill="1" applyBorder="1" applyAlignment="1">
      <alignment horizontal="left"/>
    </xf>
    <xf numFmtId="0" fontId="88" fillId="11" borderId="30" xfId="5" applyFont="1" applyFill="1" applyBorder="1" applyAlignment="1">
      <alignment horizontal="left"/>
    </xf>
    <xf numFmtId="0" fontId="70" fillId="21" borderId="0" xfId="0" applyFont="1" applyFill="1" applyAlignment="1">
      <alignment horizontal="left" vertical="center" wrapText="1"/>
    </xf>
    <xf numFmtId="0" fontId="58" fillId="21" borderId="0" xfId="0" applyFont="1" applyFill="1" applyAlignment="1">
      <alignment horizontal="left" vertical="center" wrapText="1"/>
    </xf>
    <xf numFmtId="0" fontId="70" fillId="3" borderId="29" xfId="0" applyFont="1" applyFill="1" applyBorder="1" applyAlignment="1">
      <alignment horizontal="left" vertical="center" wrapText="1"/>
    </xf>
    <xf numFmtId="0" fontId="70" fillId="28" borderId="0" xfId="0" applyFont="1" applyFill="1" applyAlignment="1">
      <alignment horizontal="left" vertical="center" wrapText="1"/>
    </xf>
    <xf numFmtId="0" fontId="120" fillId="3" borderId="3" xfId="0" applyFont="1" applyFill="1" applyBorder="1" applyAlignment="1">
      <alignment vertical="center"/>
    </xf>
    <xf numFmtId="0" fontId="70" fillId="3" borderId="3" xfId="0" applyFont="1" applyFill="1" applyBorder="1" applyAlignment="1">
      <alignment vertical="center"/>
    </xf>
    <xf numFmtId="0" fontId="11" fillId="3" borderId="1" xfId="5" applyFill="1" applyBorder="1" applyAlignment="1">
      <alignment horizontal="left" vertical="center" wrapText="1"/>
    </xf>
    <xf numFmtId="0" fontId="11" fillId="3" borderId="4" xfId="5" applyFill="1" applyBorder="1" applyAlignment="1">
      <alignment horizontal="left" vertical="center" wrapText="1"/>
    </xf>
    <xf numFmtId="0" fontId="11" fillId="3" borderId="2" xfId="5" applyFill="1" applyBorder="1" applyAlignment="1">
      <alignment horizontal="left" vertical="center" wrapText="1"/>
    </xf>
    <xf numFmtId="0" fontId="68" fillId="3" borderId="3" xfId="0" applyFont="1" applyFill="1" applyBorder="1" applyAlignment="1">
      <alignment horizontal="left" wrapText="1"/>
    </xf>
    <xf numFmtId="0" fontId="68" fillId="19" borderId="3" xfId="0" applyFont="1" applyFill="1" applyBorder="1" applyAlignment="1">
      <alignment horizontal="center" wrapText="1"/>
    </xf>
    <xf numFmtId="0" fontId="11" fillId="20" borderId="3" xfId="5" applyFill="1" applyBorder="1" applyAlignment="1">
      <alignment horizontal="left" vertical="center"/>
    </xf>
    <xf numFmtId="0" fontId="4" fillId="3" borderId="3" xfId="0" applyFont="1" applyFill="1" applyBorder="1" applyAlignment="1">
      <alignment horizontal="center" wrapText="1"/>
    </xf>
    <xf numFmtId="0" fontId="10" fillId="3" borderId="3" xfId="0" applyFont="1" applyFill="1" applyBorder="1" applyAlignment="1">
      <alignment horizontal="left" vertical="center" wrapText="1"/>
    </xf>
    <xf numFmtId="0" fontId="129" fillId="3" borderId="0" xfId="5" applyFont="1" applyFill="1" applyBorder="1" applyAlignment="1">
      <alignment horizontal="center" vertical="center" wrapText="1"/>
    </xf>
    <xf numFmtId="0" fontId="11" fillId="3" borderId="3" xfId="5" applyFill="1" applyBorder="1" applyAlignment="1">
      <alignment horizontal="left" vertical="center"/>
    </xf>
    <xf numFmtId="0" fontId="125" fillId="11" borderId="1" xfId="0" applyFont="1" applyFill="1" applyBorder="1" applyAlignment="1">
      <alignment horizontal="left" vertical="center"/>
    </xf>
    <xf numFmtId="0" fontId="125" fillId="11" borderId="4" xfId="0" applyFont="1" applyFill="1" applyBorder="1" applyAlignment="1">
      <alignment horizontal="left" vertical="center"/>
    </xf>
    <xf numFmtId="0" fontId="125" fillId="11" borderId="2" xfId="0" applyFont="1" applyFill="1" applyBorder="1" applyAlignment="1">
      <alignment horizontal="left" vertical="center"/>
    </xf>
    <xf numFmtId="0" fontId="0" fillId="28" borderId="29" xfId="0" applyFill="1" applyBorder="1" applyAlignment="1">
      <alignment horizontal="left" vertical="center" wrapText="1"/>
    </xf>
    <xf numFmtId="0" fontId="4" fillId="21" borderId="0" xfId="0" applyFont="1" applyFill="1" applyAlignment="1">
      <alignment horizontal="left" vertical="top" wrapText="1"/>
    </xf>
    <xf numFmtId="0" fontId="0" fillId="3" borderId="10" xfId="0" applyFill="1" applyBorder="1" applyAlignment="1">
      <alignment horizontal="left" vertical="center" wrapText="1"/>
    </xf>
    <xf numFmtId="0" fontId="0" fillId="3" borderId="11" xfId="0" applyFill="1" applyBorder="1" applyAlignment="1">
      <alignment horizontal="left" vertical="center" wrapText="1"/>
    </xf>
    <xf numFmtId="0" fontId="0" fillId="28" borderId="6" xfId="0" applyFill="1" applyBorder="1" applyAlignment="1">
      <alignment horizontal="left" vertical="center" wrapText="1"/>
    </xf>
    <xf numFmtId="0" fontId="0" fillId="28" borderId="0" xfId="0" applyFill="1" applyAlignment="1">
      <alignment horizontal="left" vertical="center" wrapText="1"/>
    </xf>
    <xf numFmtId="0" fontId="0" fillId="28" borderId="25" xfId="0" applyFill="1" applyBorder="1" applyAlignment="1">
      <alignment horizontal="left" vertical="center" wrapText="1"/>
    </xf>
    <xf numFmtId="0" fontId="0" fillId="28" borderId="8" xfId="0" applyFill="1" applyBorder="1" applyAlignment="1">
      <alignment horizontal="left" vertical="center" wrapText="1"/>
    </xf>
    <xf numFmtId="0" fontId="0" fillId="28" borderId="24" xfId="0" applyFill="1" applyBorder="1" applyAlignment="1">
      <alignment horizontal="left" vertical="center" wrapText="1"/>
    </xf>
    <xf numFmtId="0" fontId="0" fillId="21" borderId="0" xfId="0" applyFill="1" applyAlignment="1">
      <alignment horizontal="left" vertical="top" wrapText="1"/>
    </xf>
    <xf numFmtId="0" fontId="0" fillId="28" borderId="6" xfId="0" applyFill="1" applyBorder="1" applyAlignment="1">
      <alignment horizontal="left" vertical="top" wrapText="1"/>
    </xf>
    <xf numFmtId="0" fontId="0" fillId="28" borderId="0" xfId="0" applyFill="1" applyAlignment="1">
      <alignment horizontal="left" vertical="top" wrapText="1"/>
    </xf>
    <xf numFmtId="0" fontId="0" fillId="28" borderId="25" xfId="0" applyFill="1" applyBorder="1" applyAlignment="1">
      <alignment horizontal="left" vertical="top" wrapText="1"/>
    </xf>
    <xf numFmtId="0" fontId="70" fillId="28" borderId="6" xfId="0" applyFont="1" applyFill="1" applyBorder="1" applyAlignment="1">
      <alignment horizontal="left" vertical="center" wrapText="1"/>
    </xf>
    <xf numFmtId="0" fontId="70" fillId="28" borderId="25" xfId="0" applyFont="1" applyFill="1" applyBorder="1" applyAlignment="1">
      <alignment horizontal="left" vertical="center" wrapText="1"/>
    </xf>
    <xf numFmtId="0" fontId="10" fillId="0" borderId="3" xfId="0" applyFont="1" applyBorder="1" applyAlignment="1">
      <alignment horizontal="left" vertical="center" wrapText="1"/>
    </xf>
    <xf numFmtId="0" fontId="4" fillId="3" borderId="3" xfId="0" applyFont="1" applyFill="1" applyBorder="1" applyAlignment="1">
      <alignment horizontal="left" wrapText="1"/>
    </xf>
    <xf numFmtId="0" fontId="0" fillId="3" borderId="3" xfId="0" applyFill="1" applyBorder="1" applyAlignment="1">
      <alignment horizontal="center" vertical="top" wrapText="1"/>
    </xf>
    <xf numFmtId="0" fontId="4" fillId="0" borderId="3" xfId="0" applyFont="1" applyBorder="1" applyAlignment="1">
      <alignment horizontal="center" wrapText="1"/>
    </xf>
    <xf numFmtId="0" fontId="10" fillId="3" borderId="3" xfId="0" applyFont="1" applyFill="1" applyBorder="1" applyAlignment="1">
      <alignment horizontal="center" vertical="top" wrapText="1"/>
    </xf>
    <xf numFmtId="0" fontId="10" fillId="21" borderId="0" xfId="5" applyFont="1" applyFill="1" applyBorder="1" applyAlignment="1">
      <alignment horizontal="center" vertical="top" wrapText="1"/>
    </xf>
    <xf numFmtId="0" fontId="0" fillId="3" borderId="3" xfId="0" applyFill="1" applyBorder="1" applyAlignment="1">
      <alignment horizontal="center" vertical="center" wrapText="1"/>
    </xf>
  </cellXfs>
  <cellStyles count="179">
    <cellStyle name="AF Column - IBM Cognos" xfId="12" xr:uid="{2FAB2AE2-7F76-4A72-B60E-A085757652B1}"/>
    <cellStyle name="AF Data - IBM Cognos" xfId="13" xr:uid="{5757A8F3-7FCD-4B16-B8ED-9F1C0F4C0FD7}"/>
    <cellStyle name="AF Data 0 - IBM Cognos" xfId="14" xr:uid="{E2B309B0-8F15-4194-AC29-5B458425C8E6}"/>
    <cellStyle name="AF Data 1 - IBM Cognos" xfId="15" xr:uid="{249F09DF-9E02-44A4-8BA5-1AACE9BE842E}"/>
    <cellStyle name="AF Data 2 - IBM Cognos" xfId="16" xr:uid="{2BA72155-5181-415B-90C7-FDE375B5D7D0}"/>
    <cellStyle name="AF Data 3 - IBM Cognos" xfId="17" xr:uid="{100C61B4-FD92-4D36-99E6-52DD85D18AC6}"/>
    <cellStyle name="AF Data 4 - IBM Cognos" xfId="18" xr:uid="{A0A575BA-C99B-4E6B-A74B-CB56023E7F69}"/>
    <cellStyle name="AF Data 5 - IBM Cognos" xfId="19" xr:uid="{F578D2EB-6441-4A8B-9423-5E853F61C54D}"/>
    <cellStyle name="AF Data Leaf - IBM Cognos" xfId="20" xr:uid="{EAD26CEE-7C1C-46FD-A5D8-E3D262C18272}"/>
    <cellStyle name="AF Header - IBM Cognos" xfId="21" xr:uid="{DD26BABD-0C11-4BEA-B558-6865ED6C10D1}"/>
    <cellStyle name="AF Header 0 - IBM Cognos" xfId="22" xr:uid="{818555D6-2C2D-4D6B-BA60-3E2D8814EC8C}"/>
    <cellStyle name="AF Header 1 - IBM Cognos" xfId="23" xr:uid="{E3FFADFB-EF38-4BC8-80BF-0E299B1BA415}"/>
    <cellStyle name="AF Header 2 - IBM Cognos" xfId="24" xr:uid="{1B1AC28E-1547-475C-B0B3-CA04DFCDBB5E}"/>
    <cellStyle name="AF Header 3 - IBM Cognos" xfId="25" xr:uid="{3573D77E-F077-4EE2-9137-60F1401B3405}"/>
    <cellStyle name="AF Header 4 - IBM Cognos" xfId="26" xr:uid="{36753180-A7E1-42C7-9FA4-FA1A04C42A3D}"/>
    <cellStyle name="AF Header 5 - IBM Cognos" xfId="27" xr:uid="{DC312B8E-3452-4556-9200-50A3A568FFCB}"/>
    <cellStyle name="AF Header Leaf - IBM Cognos" xfId="28" xr:uid="{EA0FCB88-4F74-4320-83CF-078BCC501553}"/>
    <cellStyle name="AF Row - IBM Cognos" xfId="29" xr:uid="{3DCF928D-A666-4E23-AF0C-38B94E01495C}"/>
    <cellStyle name="AF Row 0 - IBM Cognos" xfId="30" xr:uid="{99D569DE-51AF-491F-B815-5C8CAFCFEF16}"/>
    <cellStyle name="AF Row 1 - IBM Cognos" xfId="31" xr:uid="{8EC303CC-FA96-4287-80CC-BC267CDAC113}"/>
    <cellStyle name="AF Row 2 - IBM Cognos" xfId="32" xr:uid="{44D66510-0964-4AF5-B091-F6918471828D}"/>
    <cellStyle name="AF Row 3 - IBM Cognos" xfId="33" xr:uid="{A230554F-48AA-48F4-99F7-3D5ECE6D59A0}"/>
    <cellStyle name="AF Row 4 - IBM Cognos" xfId="34" xr:uid="{4311F428-BD8C-416C-A846-41DECAD031D4}"/>
    <cellStyle name="AF Row 5 - IBM Cognos" xfId="35" xr:uid="{6DE3C4D3-1069-49A3-930C-43028934DD08}"/>
    <cellStyle name="AF Row Leaf - IBM Cognos" xfId="36" xr:uid="{EF13C277-E07B-4612-9D40-00D671F6F7BF}"/>
    <cellStyle name="AF Subnm - IBM Cognos" xfId="37" xr:uid="{1936409D-4964-4FAD-BE0A-51866A3898CC}"/>
    <cellStyle name="AF Title - IBM Cognos" xfId="38" xr:uid="{6E906B44-8BE8-4ED1-A555-B764C6983EEB}"/>
    <cellStyle name="Blue" xfId="150" xr:uid="{8B98066A-50B9-49FF-9334-7AE8C9731BE9}"/>
    <cellStyle name="Calculated Column - IBM Cognos" xfId="39" xr:uid="{FE4AC5A6-551D-4B15-A974-65032D2DD7B1}"/>
    <cellStyle name="Calculated Column Name - IBM Cognos" xfId="40" xr:uid="{ADDF4470-FE7A-46E6-A992-74B1082593F6}"/>
    <cellStyle name="Calculated Row - IBM Cognos" xfId="41" xr:uid="{1D0FDDC3-B7D8-433E-AEC3-256FB7A13563}"/>
    <cellStyle name="Calculated Row Name - IBM Cognos" xfId="42" xr:uid="{5AD413F6-7D4C-4475-9D3F-47FF0484A6FA}"/>
    <cellStyle name="Column Name - IBM Cognos" xfId="43" xr:uid="{93CC4E0E-6EEA-4C5D-A3AB-4F142B7E0EC3}"/>
    <cellStyle name="Column Template - IBM Cognos" xfId="44" xr:uid="{544265D0-7551-43CE-B1C0-7912859723FE}"/>
    <cellStyle name="Comma" xfId="1" builtinId="3"/>
    <cellStyle name="Comma [1]" xfId="10" xr:uid="{07DD2E1A-B517-4990-9039-88947AEAE8E5}"/>
    <cellStyle name="Comma 10" xfId="4" xr:uid="{F386B0C5-007B-4277-BA0D-4D8778DD67B2}"/>
    <cellStyle name="Comma 10 2" xfId="68" xr:uid="{047B99DB-3763-4900-8DB2-1FAA28B3611C}"/>
    <cellStyle name="Comma 10 3" xfId="9" xr:uid="{50C99E24-7921-4B77-B09E-0EAD2BFAE171}"/>
    <cellStyle name="Comma 11" xfId="98" xr:uid="{E3F9C57D-B5C1-400E-B82F-8A3E4A1CF00C}"/>
    <cellStyle name="Comma 12" xfId="76" xr:uid="{C968F765-BE95-4A56-95F6-A0C158315A15}"/>
    <cellStyle name="Comma 13" xfId="102" xr:uid="{50FC9054-B6F2-4400-B9A7-4BF85EEAD15E}"/>
    <cellStyle name="Comma 14" xfId="87" xr:uid="{C9C7E512-C11B-40E7-938C-F2D9E19C45BF}"/>
    <cellStyle name="Comma 15" xfId="90" xr:uid="{7D329FA9-C673-44FC-BDB1-38DDF3148574}"/>
    <cellStyle name="Comma 16" xfId="159" xr:uid="{5036010A-FD40-4297-8DF1-46AC77FAEDA8}"/>
    <cellStyle name="Comma 17" xfId="97" xr:uid="{4E73632E-6A29-40E4-BC87-C240794505CD}"/>
    <cellStyle name="Comma 18" xfId="75" xr:uid="{8D0D3351-3A3F-4B64-8E6F-BA6157F5A4C6}"/>
    <cellStyle name="Comma 19" xfId="80" xr:uid="{832587E0-19B1-4123-BFB4-14A4CE4DA487}"/>
    <cellStyle name="Comma 2" xfId="69" xr:uid="{A4A9CB6D-5FD8-4A18-BAC8-A21CA296DB76}"/>
    <cellStyle name="Comma 2 2" xfId="107" xr:uid="{3EE0A047-25C6-442A-BD19-6830FD249A09}"/>
    <cellStyle name="Comma 20" xfId="161" xr:uid="{94659A92-B7F2-42FA-934E-346FB8C4D61F}"/>
    <cellStyle name="Comma 21" xfId="99" xr:uid="{B1D75AF5-C1DA-462E-903E-2E3F7AE3ACA4}"/>
    <cellStyle name="Comma 22" xfId="105" xr:uid="{80286D66-1819-412C-81DC-35053BBF7457}"/>
    <cellStyle name="Comma 23" xfId="8" xr:uid="{CB5370EE-F2EF-4BEA-8134-69273643AD85}"/>
    <cellStyle name="Comma 24" xfId="160" xr:uid="{0B249C3B-8FAA-47F4-A709-F82EC3BA7C26}"/>
    <cellStyle name="Comma 25" xfId="171" xr:uid="{8ED9817D-C6C2-46EF-8CBF-E10B89AA5B29}"/>
    <cellStyle name="Comma 26" xfId="67" xr:uid="{4A262336-D506-425B-B68E-E139200AD675}"/>
    <cellStyle name="Comma 27" xfId="168" xr:uid="{F14E5537-5DE1-4614-A863-561A27C1A92D}"/>
    <cellStyle name="Comma 28" xfId="78" xr:uid="{CD6933BE-8BA0-419D-9764-ACD82ACFDACD}"/>
    <cellStyle name="Comma 29" xfId="162" xr:uid="{23EE76D3-F936-46BF-848E-1E6745D4303E}"/>
    <cellStyle name="Comma 3" xfId="70" xr:uid="{3351C5A1-CDAD-4796-B356-9EC76E8F091F}"/>
    <cellStyle name="Comma 3 2" xfId="153" xr:uid="{82FE37E0-9C91-4B80-8079-7F0975295706}"/>
    <cellStyle name="Comma 30" xfId="103" xr:uid="{AF5D1BC5-76EF-44A1-951D-F3222C0EDCF3}"/>
    <cellStyle name="Comma 31" xfId="163" xr:uid="{982DDBB8-35FC-4225-800D-4ABD0B333BCA}"/>
    <cellStyle name="Comma 32" xfId="93" xr:uid="{B960961D-56BA-497C-9D2B-31BDB5664444}"/>
    <cellStyle name="Comma 33" xfId="95" xr:uid="{8BCF5E81-8048-4976-8842-DE23579BFFB1}"/>
    <cellStyle name="Comma 34" xfId="176" xr:uid="{EB4EE923-91CC-40CB-AA38-5463997C5097}"/>
    <cellStyle name="Comma 35" xfId="177" xr:uid="{7B7CA8F5-59CD-47E5-9C62-A1DD402EDD91}"/>
    <cellStyle name="Comma 36" xfId="178" xr:uid="{E23E9567-00FD-41C0-A53D-D7F62473D8A9}"/>
    <cellStyle name="Comma 36 7 9 2 11" xfId="155" xr:uid="{F938582F-6E03-4B81-9DF0-24CF8C0E5DA6}"/>
    <cellStyle name="Comma 4" xfId="11" xr:uid="{1F286AA3-F1F5-4CB3-BB50-271CA311F957}"/>
    <cellStyle name="Comma 5" xfId="74" xr:uid="{E46E02BE-A40D-41EC-A51A-40297A8D25E1}"/>
    <cellStyle name="Comma 6" xfId="96" xr:uid="{4563D6BE-D5CA-4A55-991C-E74699509726}"/>
    <cellStyle name="Comma 7" xfId="79" xr:uid="{AFC9A0C2-0204-49E0-8C75-4032ACDA5DA8}"/>
    <cellStyle name="Comma 8" xfId="94" xr:uid="{E5A2A600-A425-4EB7-8097-641820A962B5}"/>
    <cellStyle name="Comma 9" xfId="83" xr:uid="{A2C597A4-36DD-4B85-97D8-13E2DD9F1981}"/>
    <cellStyle name="Comma(2) 2" xfId="118" xr:uid="{56A8CB03-B7D3-452A-A4F9-79D014BDC24B}"/>
    <cellStyle name="Currency 2" xfId="84" xr:uid="{7CDE2DB3-22D3-4E67-A943-42797C363009}"/>
    <cellStyle name="Currency 3" xfId="100" xr:uid="{2D7A0AE8-2941-4BE3-ACC3-8E83725D0B3D}"/>
    <cellStyle name="Data Rows" xfId="109" xr:uid="{F07BDBCA-D337-47FD-A5B3-CC09DACE0794}"/>
    <cellStyle name="Differs From Base - IBM Cognos" xfId="45" xr:uid="{356D8154-CCA3-4DDE-8D76-4750241BDA11}"/>
    <cellStyle name="DQR Column 0 - IBM Cognos" xfId="166" xr:uid="{71C2B00B-95E2-497F-A1E3-0A81E6C486E2}"/>
    <cellStyle name="DQR Column 1 - IBM Cognos" xfId="92" xr:uid="{334DF89C-AE6B-47FF-9D32-5B30867D983C}"/>
    <cellStyle name="DQR Column 2 - IBM Cognos" xfId="173" xr:uid="{F6E51CF8-A30A-4323-941D-9D1806058DCD}"/>
    <cellStyle name="DQR Column 3 - IBM Cognos" xfId="172" xr:uid="{3A4E4633-96D3-42D6-8465-3072DF6BFE7F}"/>
    <cellStyle name="DQR Column 4 - IBM Cognos" xfId="165" xr:uid="{BF55CC53-9F8F-4D7B-8796-653F7B7559A4}"/>
    <cellStyle name="DQR Column 5 - IBM Cognos" xfId="104" xr:uid="{EA7F1351-D5DD-4DF0-BA32-304C35286B41}"/>
    <cellStyle name="DQR Column Default - IBM Cognos" xfId="91" xr:uid="{573E125A-8416-48A6-8CCF-2F79F5B59C5E}"/>
    <cellStyle name="DQR Column Leaf - IBM Cognos" xfId="77" xr:uid="{5ABE134E-22F8-428B-B808-692165763231}"/>
    <cellStyle name="DQR Data Default - IBM Cognos" xfId="6" xr:uid="{B6178ADC-1EF8-4A06-A934-A25ED62F4DCA}"/>
    <cellStyle name="DQR Default - IBM Cognos" xfId="157" xr:uid="{0BD4DE01-6DED-4604-AB82-FC3B31B40FD7}"/>
    <cellStyle name="DQR Gutter Default - IBM Cognos" xfId="82" xr:uid="{4892B776-BF60-4BED-A458-366B3372CACF}"/>
    <cellStyle name="DQR Row 0 - IBM Cognos" xfId="167" xr:uid="{1D323021-AEC8-48DE-B75C-E9C51A419CF9}"/>
    <cellStyle name="DQR Row 1 - IBM Cognos" xfId="170" xr:uid="{4F30A9C0-D343-4179-9F3A-33D23F035886}"/>
    <cellStyle name="DQR Row 2 - IBM Cognos" xfId="86" xr:uid="{7E5E0507-E247-42C8-AFE4-B022317610A2}"/>
    <cellStyle name="DQR Row 3 - IBM Cognos" xfId="89" xr:uid="{DE2C9E2B-D340-495F-BE6F-DD8D533A5009}"/>
    <cellStyle name="DQR Row 4 - IBM Cognos" xfId="88" xr:uid="{486EBF59-8EF4-4895-9ABB-01E55C0D1608}"/>
    <cellStyle name="DQR Row 5 - IBM Cognos" xfId="158" xr:uid="{C6E1B5EA-5617-4069-9928-3FD17F372426}"/>
    <cellStyle name="DQR Row Default - IBM Cognos" xfId="169" xr:uid="{01DF540D-4B84-4635-9A20-926937CDBC57}"/>
    <cellStyle name="DQR Row Leaf - IBM Cognos" xfId="164" xr:uid="{8B09C577-3BB4-4472-9424-E01A3B22FC05}"/>
    <cellStyle name="Edit - IBM Cognos" xfId="46" xr:uid="{A0E60FD0-E44F-48F1-8C46-2D0CC2BB8ADE}"/>
    <cellStyle name="Formula - IBM Cognos" xfId="47" xr:uid="{4E68E7C0-BA88-4D75-B5E4-5C0386970B6E}"/>
    <cellStyle name="Good" xfId="3" builtinId="26"/>
    <cellStyle name="Group Name - IBM Cognos" xfId="48" xr:uid="{1D8B4F62-C7F9-4642-B86F-D5D124759F9B}"/>
    <cellStyle name="Header Rows 2" xfId="110" xr:uid="{FD3F56ED-4D93-4E80-9019-6BBF7C28EFF9}"/>
    <cellStyle name="Header Version" xfId="127" xr:uid="{D27C29F1-6770-48BC-BE86-02AC1F3F6DB6}"/>
    <cellStyle name="Hold Values - IBM Cognos" xfId="49" xr:uid="{3D460D49-2BA9-4EDD-BA7B-8EF3E840C9CC}"/>
    <cellStyle name="Hyperlink" xfId="5" builtinId="8"/>
    <cellStyle name="Hyperlink 2" xfId="175" xr:uid="{23DE2D7C-FDE1-4C7C-A242-32B5F3754CB8}"/>
    <cellStyle name="List Name - IBM Cognos" xfId="50" xr:uid="{4FBA6D15-E30F-4A9F-A9C2-074E981B7083}"/>
    <cellStyle name="Locked - IBM Cognos" xfId="51" xr:uid="{023A59C4-3EC7-47A7-B3D1-B1C2C23C54E1}"/>
    <cellStyle name="Measure - IBM Cognos" xfId="52" xr:uid="{30205F1D-38EE-4226-B349-D332EC14CC82}"/>
    <cellStyle name="Measure Header - IBM Cognos" xfId="53" xr:uid="{58549578-3B5F-47EC-A73E-8B8B3070BAA8}"/>
    <cellStyle name="Measure Name - IBM Cognos" xfId="54" xr:uid="{A96B9E90-596A-4BA3-AB1D-7AC4A3914E2D}"/>
    <cellStyle name="Measure Summary - IBM Cognos" xfId="55" xr:uid="{94FC15FB-6389-48A3-BBC8-557FE1D935F2}"/>
    <cellStyle name="Measure Summary TM1 - IBM Cognos" xfId="56" xr:uid="{6AEE7245-D213-49DB-B265-F437DBB46117}"/>
    <cellStyle name="Measure Template - IBM Cognos" xfId="57" xr:uid="{E8D2DA99-AC92-441E-9308-959D7C08F26F}"/>
    <cellStyle name="More - IBM Cognos" xfId="58" xr:uid="{223A01F5-C506-42C5-A243-CDBA09508D9D}"/>
    <cellStyle name="Normal" xfId="0" builtinId="0" customBuiltin="1"/>
    <cellStyle name="Normal 10" xfId="72" xr:uid="{C779D710-5AE4-4ABA-B872-B5659A54A546}"/>
    <cellStyle name="Normal 10 11 2 2 2" xfId="128" xr:uid="{63DFC1F6-2391-44DF-B6D2-C3C8C2711CCD}"/>
    <cellStyle name="Normal 10 11 2 2 2 5" xfId="144" xr:uid="{EAFEBDF5-00B2-416A-9590-40619CB13C3F}"/>
    <cellStyle name="Normal 10 11 4" xfId="111" xr:uid="{6B1A64C8-9403-4DA4-B685-6D0D70804690}"/>
    <cellStyle name="Normal 10 11 4 5" xfId="133" xr:uid="{F6D6054B-07DA-451E-B888-8AD4239B93A3}"/>
    <cellStyle name="Normal 104" xfId="119" xr:uid="{AE51F780-9FB8-4880-B64E-D3FE2888E1F6}"/>
    <cellStyle name="Normal 104 2" xfId="137" xr:uid="{F1C51EE0-C61C-4EC0-985B-AB6B3A1C2690}"/>
    <cellStyle name="Normal 105" xfId="122" xr:uid="{5E871092-9826-40A0-BB46-FD5D095BAB39}"/>
    <cellStyle name="Normal 105 2" xfId="140" xr:uid="{2C5D2E15-4F81-4618-9383-559ABF5334D1}"/>
    <cellStyle name="Normal 106" xfId="125" xr:uid="{505C9D34-314F-445A-A09E-54E521046939}"/>
    <cellStyle name="Normal 106 2" xfId="143" xr:uid="{CFC6763E-1E5A-4808-BA24-A3D437F16172}"/>
    <cellStyle name="Normal 15" xfId="108" xr:uid="{A112EA71-330B-43BA-9324-F532A6E07AE7}"/>
    <cellStyle name="Normal 16" xfId="132" xr:uid="{C1647DC2-F573-4702-8175-A79759B7AED6}"/>
    <cellStyle name="Normal 2" xfId="71" xr:uid="{43AF9777-B0FB-4203-B94D-D10AED295C03}"/>
    <cellStyle name="Normal 2 2" xfId="73" xr:uid="{CDFAE014-A608-487B-8A01-FD4F9B4CCD1B}"/>
    <cellStyle name="Normal 2 2 2" xfId="101" xr:uid="{7DC86BBB-964B-4D65-A7B6-FF8F02E03F3D}"/>
    <cellStyle name="Normal 2 2 3" xfId="156" xr:uid="{CFFCCBCA-84E9-4F2D-8CAA-0E7CADA1C8A1}"/>
    <cellStyle name="Normal 25" xfId="148" xr:uid="{A956F7EF-B832-47B7-A84E-174C864940B4}"/>
    <cellStyle name="Normal 3" xfId="81" xr:uid="{BD364735-DA71-4109-9081-49ABD0B9D183}"/>
    <cellStyle name="Normal 4" xfId="85" xr:uid="{12698AED-1EE9-4C1A-9E10-EF9E6E241C3A}"/>
    <cellStyle name="Normal 5" xfId="151" xr:uid="{1467BB66-E848-4231-A0BA-25FF0E3B0EBF}"/>
    <cellStyle name="Normal 5 2" xfId="152" xr:uid="{A3F5DEED-B854-4DAA-AE49-1D51F7CB5282}"/>
    <cellStyle name="Normal 6" xfId="174" xr:uid="{E39A783B-65A5-44BB-B69D-717BF45F1548}"/>
    <cellStyle name="Normal 72 2" xfId="154" xr:uid="{96632A4A-0FDB-4AF5-BD31-94D4A6E7FA64}"/>
    <cellStyle name="Normal 78" xfId="129" xr:uid="{19B9CD93-FBEF-4086-A536-8D24A0C1E716}"/>
    <cellStyle name="Normal 78 5" xfId="145" xr:uid="{5F3F862A-FFDA-4118-9AF4-D01BD061DD15}"/>
    <cellStyle name="Normal 79" xfId="130" xr:uid="{6D2A537A-31D5-414F-9A16-44E2AA051E76}"/>
    <cellStyle name="Normal 79 5" xfId="146" xr:uid="{B754DA9D-79AF-4D02-B391-22DDA34D4900}"/>
    <cellStyle name="Normal 80" xfId="131" xr:uid="{C748BDFA-31A9-428C-B445-25A8645A4373}"/>
    <cellStyle name="Normal 80 5" xfId="147" xr:uid="{DDE75E15-DDB8-4D98-A2DF-A3180A7B0036}"/>
    <cellStyle name="Normal 83" xfId="114" xr:uid="{D1F3EA5D-03E1-47FF-9E70-A0303C755293}"/>
    <cellStyle name="Normal 83 5" xfId="134" xr:uid="{9AA12888-8169-40C1-964B-49A7E474A8BB}"/>
    <cellStyle name="Normal 84" xfId="116" xr:uid="{C7F66E23-5E89-47B1-A066-85DB765BF166}"/>
    <cellStyle name="Normal 84 5" xfId="136" xr:uid="{E2E56734-60A2-41F9-91E2-5B186DC56AA7}"/>
    <cellStyle name="Normal 85" xfId="115" xr:uid="{15A9189E-610C-4893-8C7A-AAD790C4691D}"/>
    <cellStyle name="Normal 85 5" xfId="135" xr:uid="{6E22BF30-08A6-4F06-AFEE-C056928F7E12}"/>
    <cellStyle name="Normal 86" xfId="117" xr:uid="{CCB1005C-CD64-4822-968E-44095EF2B7DC}"/>
    <cellStyle name="Normal 87" xfId="120" xr:uid="{AC3A0A84-6333-4058-8417-97F9105A7563}"/>
    <cellStyle name="Normal 87 5" xfId="138" xr:uid="{6B599803-774F-4DEF-A2F0-060C774FD933}"/>
    <cellStyle name="Normal 88" xfId="121" xr:uid="{EB9B1E10-01F4-47E3-B71A-42CD60456FDC}"/>
    <cellStyle name="Normal 88 5" xfId="139" xr:uid="{FE0C3C4C-E88F-4D3F-9612-8DC6ADA40B5A}"/>
    <cellStyle name="Normal 90" xfId="124" xr:uid="{4502F3F8-8CF5-4111-B629-653A502CEB66}"/>
    <cellStyle name="Normal 90 5" xfId="142" xr:uid="{5D229E35-D9F3-4572-BB09-8C877105D2AC}"/>
    <cellStyle name="Normal 91" xfId="123" xr:uid="{36150B82-DD7F-4532-859C-FE1B99FE1606}"/>
    <cellStyle name="Normal 91 5" xfId="141" xr:uid="{D85A936A-381B-4B2C-B507-1EC310BACCBE}"/>
    <cellStyle name="Normal 92" xfId="126" xr:uid="{3B8DD5D0-3A42-45DB-849D-FE8E4C4BC111}"/>
    <cellStyle name="Pending Change - IBM Cognos" xfId="59" xr:uid="{E7CECE4E-C0F9-4AE6-8B36-23D4C4D9380A}"/>
    <cellStyle name="Percent" xfId="2" builtinId="5"/>
    <cellStyle name="Percent 2" xfId="106" xr:uid="{D4DE2D22-71FF-459E-B201-372843603C5F}"/>
    <cellStyle name="Row Name - IBM Cognos" xfId="60" xr:uid="{7BDE70B4-B593-413C-818A-B8A9EE9B8A22}"/>
    <cellStyle name="Row Template - IBM Cognos" xfId="61" xr:uid="{674C68A9-A20A-45FF-8FDF-C35F6E6E141E}"/>
    <cellStyle name="RowRef" xfId="112" xr:uid="{D33EAD97-E47F-481A-A796-03A2E2FC55B8}"/>
    <cellStyle name="RowRef 2" xfId="149" xr:uid="{A3FA0457-212D-4555-8138-B8C6F3277FC7}"/>
    <cellStyle name="Style 1" xfId="7" xr:uid="{82D1C802-27F9-4E90-BAA5-21F2E9E8B697}"/>
    <cellStyle name="Summary Column Name - IBM Cognos" xfId="62" xr:uid="{7F36FFFC-B263-46BF-9237-4BB7BF7E5CA4}"/>
    <cellStyle name="Summary Column Name TM1 - IBM Cognos" xfId="63" xr:uid="{D3C2EE47-63A8-4726-B342-D9607D588C8A}"/>
    <cellStyle name="Summary Row Name - IBM Cognos" xfId="64" xr:uid="{71E7AF36-F872-4A62-B22A-7EEC3E58920E}"/>
    <cellStyle name="Summary Row Name TM1 - IBM Cognos" xfId="65" xr:uid="{5B668FF5-D2AC-4278-9E23-6050EA47CFE9}"/>
    <cellStyle name="Text" xfId="113" xr:uid="{1016E3C6-10BD-4CB5-BDDC-EB94E7EEF2F2}"/>
    <cellStyle name="Unsaved Change - IBM Cognos" xfId="66" xr:uid="{603FDCCD-E052-4E32-85E9-5806B52D975C}"/>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3E09FF"/>
      <color rgb="FF256FA1"/>
      <color rgb="FFFCF7D6"/>
      <color rgb="FF256F90"/>
      <color rgb="FF256F96"/>
      <color rgb="FF256FB3"/>
      <color rgb="FF2561AB"/>
      <color rgb="FF256FAB"/>
      <color rgb="FF2568AB"/>
      <color rgb="FFF9FC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2</xdr:row>
      <xdr:rowOff>9525</xdr:rowOff>
    </xdr:from>
    <xdr:to>
      <xdr:col>6</xdr:col>
      <xdr:colOff>819150</xdr:colOff>
      <xdr:row>4</xdr:row>
      <xdr:rowOff>94230</xdr:rowOff>
    </xdr:to>
    <xdr:pic>
      <xdr:nvPicPr>
        <xdr:cNvPr id="2" name="Picture 1" descr="TPR Logo L RGB">
          <a:extLst>
            <a:ext uri="{FF2B5EF4-FFF2-40B4-BE49-F238E27FC236}">
              <a16:creationId xmlns:a16="http://schemas.microsoft.com/office/drawing/2014/main" id="{EBA446E3-1D94-4D6A-8117-524B29FA2B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 y="581025"/>
          <a:ext cx="3609975" cy="4657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257175</xdr:colOff>
      <xdr:row>1</xdr:row>
      <xdr:rowOff>15555</xdr:rowOff>
    </xdr:from>
    <xdr:to>
      <xdr:col>11</xdr:col>
      <xdr:colOff>310756</xdr:colOff>
      <xdr:row>2</xdr:row>
      <xdr:rowOff>353</xdr:rowOff>
    </xdr:to>
    <xdr:pic>
      <xdr:nvPicPr>
        <xdr:cNvPr id="2" name="Picture 1">
          <a:extLst>
            <a:ext uri="{FF2B5EF4-FFF2-40B4-BE49-F238E27FC236}">
              <a16:creationId xmlns:a16="http://schemas.microsoft.com/office/drawing/2014/main" id="{E8C46E9A-0740-42C9-BCF3-DF86B1905B66}"/>
            </a:ext>
          </a:extLst>
        </xdr:cNvPr>
        <xdr:cNvPicPr>
          <a:picLocks noChangeAspect="1"/>
        </xdr:cNvPicPr>
      </xdr:nvPicPr>
      <xdr:blipFill>
        <a:blip xmlns:r="http://schemas.openxmlformats.org/officeDocument/2006/relationships" r:embed="rId1"/>
        <a:stretch>
          <a:fillRect/>
        </a:stretch>
      </xdr:blipFill>
      <xdr:spPr>
        <a:xfrm>
          <a:off x="7124700" y="206055"/>
          <a:ext cx="2072321" cy="540423"/>
        </a:xfrm>
        <a:prstGeom prst="rect">
          <a:avLst/>
        </a:prstGeom>
      </xdr:spPr>
    </xdr:pic>
    <xdr:clientData/>
  </xdr:twoCellAnchor>
  <xdr:twoCellAnchor editAs="oneCell">
    <xdr:from>
      <xdr:col>1</xdr:col>
      <xdr:colOff>403414</xdr:colOff>
      <xdr:row>30</xdr:row>
      <xdr:rowOff>33617</xdr:rowOff>
    </xdr:from>
    <xdr:to>
      <xdr:col>11</xdr:col>
      <xdr:colOff>100854</xdr:colOff>
      <xdr:row>55</xdr:row>
      <xdr:rowOff>59254</xdr:rowOff>
    </xdr:to>
    <xdr:pic>
      <xdr:nvPicPr>
        <xdr:cNvPr id="3" name="Picture 2">
          <a:extLst>
            <a:ext uri="{FF2B5EF4-FFF2-40B4-BE49-F238E27FC236}">
              <a16:creationId xmlns:a16="http://schemas.microsoft.com/office/drawing/2014/main" id="{319FCAB4-4569-0D56-3071-D14B0D1E929B}"/>
            </a:ext>
          </a:extLst>
        </xdr:cNvPr>
        <xdr:cNvPicPr>
          <a:picLocks noChangeAspect="1"/>
        </xdr:cNvPicPr>
      </xdr:nvPicPr>
      <xdr:blipFill>
        <a:blip xmlns:r="http://schemas.openxmlformats.org/officeDocument/2006/relationships" r:embed="rId2"/>
        <a:stretch>
          <a:fillRect/>
        </a:stretch>
      </xdr:blipFill>
      <xdr:spPr>
        <a:xfrm>
          <a:off x="1008532" y="7900146"/>
          <a:ext cx="8258734" cy="4788137"/>
        </a:xfrm>
        <a:prstGeom prst="rect">
          <a:avLst/>
        </a:prstGeom>
      </xdr:spPr>
    </xdr:pic>
    <xdr:clientData/>
  </xdr:twoCellAnchor>
  <xdr:twoCellAnchor editAs="oneCell">
    <xdr:from>
      <xdr:col>11</xdr:col>
      <xdr:colOff>562320</xdr:colOff>
      <xdr:row>26</xdr:row>
      <xdr:rowOff>722982</xdr:rowOff>
    </xdr:from>
    <xdr:to>
      <xdr:col>11</xdr:col>
      <xdr:colOff>898176</xdr:colOff>
      <xdr:row>27</xdr:row>
      <xdr:rowOff>116607</xdr:rowOff>
    </xdr:to>
    <xdr:pic>
      <xdr:nvPicPr>
        <xdr:cNvPr id="4" name="Picture 3">
          <a:extLst>
            <a:ext uri="{FF2B5EF4-FFF2-40B4-BE49-F238E27FC236}">
              <a16:creationId xmlns:a16="http://schemas.microsoft.com/office/drawing/2014/main" id="{69A2D67E-089C-4E1B-869A-8709ADFDBC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54519" y="7206868"/>
          <a:ext cx="335856" cy="2887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403159</xdr:colOff>
      <xdr:row>3</xdr:row>
      <xdr:rowOff>43295</xdr:rowOff>
    </xdr:from>
    <xdr:to>
      <xdr:col>17</xdr:col>
      <xdr:colOff>569571</xdr:colOff>
      <xdr:row>37</xdr:row>
      <xdr:rowOff>160617</xdr:rowOff>
    </xdr:to>
    <xdr:pic>
      <xdr:nvPicPr>
        <xdr:cNvPr id="3" name="Picture 2" descr="The document is a letter from Ernst &amp; Young, an external audit firm, discussing their services to Transpower regarding their annual report and assurance services. It also mentions the limitations of such an engagement and the restrictions on the use of the report.&#10;&#10;AI-generated content may be incorrect.">
          <a:extLst>
            <a:ext uri="{FF2B5EF4-FFF2-40B4-BE49-F238E27FC236}">
              <a16:creationId xmlns:a16="http://schemas.microsoft.com/office/drawing/2014/main" id="{59999BB6-3B47-4695-1DAF-71DF13EF4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93523" y="692727"/>
          <a:ext cx="5015503" cy="7001299"/>
        </a:xfrm>
        <a:prstGeom prst="rect">
          <a:avLst/>
        </a:prstGeom>
      </xdr:spPr>
    </xdr:pic>
    <xdr:clientData/>
  </xdr:twoCellAnchor>
  <xdr:twoCellAnchor editAs="oneCell">
    <xdr:from>
      <xdr:col>2</xdr:col>
      <xdr:colOff>2170624</xdr:colOff>
      <xdr:row>3</xdr:row>
      <xdr:rowOff>46892</xdr:rowOff>
    </xdr:from>
    <xdr:to>
      <xdr:col>10</xdr:col>
      <xdr:colOff>318349</xdr:colOff>
      <xdr:row>38</xdr:row>
      <xdr:rowOff>44013</xdr:rowOff>
    </xdr:to>
    <xdr:pic>
      <xdr:nvPicPr>
        <xdr:cNvPr id="6" name="Picture 5" descr="The document is a statement of opinion on compliance based on Assurance Engagements SAE 3100 and ISAE 3000, detailing Transpower's responsibilities for compliance, risk identification, and control implementation.&#10;&#10;AI-generated content may be incorrect.">
          <a:extLst>
            <a:ext uri="{FF2B5EF4-FFF2-40B4-BE49-F238E27FC236}">
              <a16:creationId xmlns:a16="http://schemas.microsoft.com/office/drawing/2014/main" id="{6F51731A-0535-1B6C-ADC1-9461420B53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03044" y="695403"/>
          <a:ext cx="5028018" cy="7140871"/>
        </a:xfrm>
        <a:prstGeom prst="rect">
          <a:avLst/>
        </a:prstGeom>
      </xdr:spPr>
    </xdr:pic>
    <xdr:clientData/>
  </xdr:twoCellAnchor>
  <xdr:twoCellAnchor editAs="oneCell">
    <xdr:from>
      <xdr:col>1</xdr:col>
      <xdr:colOff>18336</xdr:colOff>
      <xdr:row>3</xdr:row>
      <xdr:rowOff>102380</xdr:rowOff>
    </xdr:from>
    <xdr:to>
      <xdr:col>2</xdr:col>
      <xdr:colOff>2379137</xdr:colOff>
      <xdr:row>38</xdr:row>
      <xdr:rowOff>68763</xdr:rowOff>
    </xdr:to>
    <xdr:pic>
      <xdr:nvPicPr>
        <xdr:cNvPr id="4" name="Picture 3" descr="The document is an Independent Assurance Report by the Auditor-General, detailing an audit engagement by Ernst &amp; Young to assess Transpower New Zealand Limited's compliance with the Transpower Individual Price-Quality Path Determination for the period from July 2025 to June 2026.&#10;&#10;AI-generated content may be incorrect.">
          <a:extLst>
            <a:ext uri="{FF2B5EF4-FFF2-40B4-BE49-F238E27FC236}">
              <a16:creationId xmlns:a16="http://schemas.microsoft.com/office/drawing/2014/main" id="{1D64B275-B840-C2EE-E0F8-BFFCFAC429E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4472" y="751812"/>
          <a:ext cx="4984506" cy="70408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1759324</xdr:colOff>
      <xdr:row>1</xdr:row>
      <xdr:rowOff>29758</xdr:rowOff>
    </xdr:from>
    <xdr:to>
      <xdr:col>3</xdr:col>
      <xdr:colOff>5141072</xdr:colOff>
      <xdr:row>2</xdr:row>
      <xdr:rowOff>352210</xdr:rowOff>
    </xdr:to>
    <xdr:pic>
      <xdr:nvPicPr>
        <xdr:cNvPr id="5" name="Picture 4">
          <a:extLst>
            <a:ext uri="{FF2B5EF4-FFF2-40B4-BE49-F238E27FC236}">
              <a16:creationId xmlns:a16="http://schemas.microsoft.com/office/drawing/2014/main" id="{4DC09184-D7D5-7115-BF3B-5ED99C43C8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47860" y="220258"/>
          <a:ext cx="3381748" cy="66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642470</xdr:colOff>
      <xdr:row>0</xdr:row>
      <xdr:rowOff>130468</xdr:rowOff>
    </xdr:from>
    <xdr:to>
      <xdr:col>13</xdr:col>
      <xdr:colOff>24976</xdr:colOff>
      <xdr:row>1</xdr:row>
      <xdr:rowOff>392206</xdr:rowOff>
    </xdr:to>
    <xdr:pic>
      <xdr:nvPicPr>
        <xdr:cNvPr id="2" name="Picture 1">
          <a:extLst>
            <a:ext uri="{FF2B5EF4-FFF2-40B4-BE49-F238E27FC236}">
              <a16:creationId xmlns:a16="http://schemas.microsoft.com/office/drawing/2014/main" id="{9EC0E24C-9C41-4B10-806B-5206DAE79A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4264" y="130468"/>
          <a:ext cx="1534036" cy="407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661148</xdr:colOff>
      <xdr:row>31</xdr:row>
      <xdr:rowOff>11206</xdr:rowOff>
    </xdr:from>
    <xdr:to>
      <xdr:col>13</xdr:col>
      <xdr:colOff>174172</xdr:colOff>
      <xdr:row>32</xdr:row>
      <xdr:rowOff>109451</xdr:rowOff>
    </xdr:to>
    <xdr:pic>
      <xdr:nvPicPr>
        <xdr:cNvPr id="3" name="Picture 2">
          <a:extLst>
            <a:ext uri="{FF2B5EF4-FFF2-40B4-BE49-F238E27FC236}">
              <a16:creationId xmlns:a16="http://schemas.microsoft.com/office/drawing/2014/main" id="{A8DA0064-00F0-44E0-8A50-2EB04ABD32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05030" y="8718177"/>
          <a:ext cx="342260" cy="2887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600075</xdr:colOff>
      <xdr:row>0</xdr:row>
      <xdr:rowOff>0</xdr:rowOff>
    </xdr:from>
    <xdr:to>
      <xdr:col>6</xdr:col>
      <xdr:colOff>247650</xdr:colOff>
      <xdr:row>3</xdr:row>
      <xdr:rowOff>119644</xdr:rowOff>
    </xdr:to>
    <xdr:pic>
      <xdr:nvPicPr>
        <xdr:cNvPr id="2" name="Picture 1">
          <a:extLst>
            <a:ext uri="{FF2B5EF4-FFF2-40B4-BE49-F238E27FC236}">
              <a16:creationId xmlns:a16="http://schemas.microsoft.com/office/drawing/2014/main" id="{6916A6FD-AE31-483B-9A72-3E0FAA7629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0"/>
          <a:ext cx="3305175" cy="691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2428875</xdr:colOff>
      <xdr:row>34</xdr:row>
      <xdr:rowOff>0</xdr:rowOff>
    </xdr:from>
    <xdr:ext cx="65" cy="172227"/>
    <xdr:sp macro="" textlink="">
      <xdr:nvSpPr>
        <xdr:cNvPr id="2" name="TextBox 1">
          <a:extLst>
            <a:ext uri="{FF2B5EF4-FFF2-40B4-BE49-F238E27FC236}">
              <a16:creationId xmlns:a16="http://schemas.microsoft.com/office/drawing/2014/main" id="{1BE11D9B-7F8B-4BFA-BDD9-C08D757F19C5}"/>
            </a:ext>
          </a:extLst>
        </xdr:cNvPr>
        <xdr:cNvSpPr txBox="1"/>
      </xdr:nvSpPr>
      <xdr:spPr>
        <a:xfrm>
          <a:off x="8010525" y="178958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NZ" sz="1100"/>
        </a:p>
      </xdr:txBody>
    </xdr:sp>
    <xdr:clientData/>
  </xdr:oneCellAnchor>
  <xdr:twoCellAnchor editAs="oneCell">
    <xdr:from>
      <xdr:col>8</xdr:col>
      <xdr:colOff>736600</xdr:colOff>
      <xdr:row>1</xdr:row>
      <xdr:rowOff>14816</xdr:rowOff>
    </xdr:from>
    <xdr:to>
      <xdr:col>10</xdr:col>
      <xdr:colOff>950520</xdr:colOff>
      <xdr:row>1</xdr:row>
      <xdr:rowOff>438096</xdr:rowOff>
    </xdr:to>
    <xdr:pic>
      <xdr:nvPicPr>
        <xdr:cNvPr id="3" name="Picture 3">
          <a:extLst>
            <a:ext uri="{FF2B5EF4-FFF2-40B4-BE49-F238E27FC236}">
              <a16:creationId xmlns:a16="http://schemas.microsoft.com/office/drawing/2014/main" id="{AF0D7788-99B5-406F-9175-62A7EC3C5B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0150" y="186266"/>
          <a:ext cx="2181673"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795617</xdr:colOff>
      <xdr:row>31</xdr:row>
      <xdr:rowOff>123264</xdr:rowOff>
    </xdr:from>
    <xdr:to>
      <xdr:col>11</xdr:col>
      <xdr:colOff>151759</xdr:colOff>
      <xdr:row>33</xdr:row>
      <xdr:rowOff>31009</xdr:rowOff>
    </xdr:to>
    <xdr:pic>
      <xdr:nvPicPr>
        <xdr:cNvPr id="4" name="Picture 3">
          <a:extLst>
            <a:ext uri="{FF2B5EF4-FFF2-40B4-BE49-F238E27FC236}">
              <a16:creationId xmlns:a16="http://schemas.microsoft.com/office/drawing/2014/main" id="{FE46D949-E622-4F2C-8C44-6AB75A58F9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89323" y="8695764"/>
          <a:ext cx="342260" cy="2887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3</xdr:col>
      <xdr:colOff>2428875</xdr:colOff>
      <xdr:row>48</xdr:row>
      <xdr:rowOff>141287</xdr:rowOff>
    </xdr:from>
    <xdr:ext cx="65" cy="172227"/>
    <xdr:sp macro="" textlink="">
      <xdr:nvSpPr>
        <xdr:cNvPr id="2" name="TextBox 1">
          <a:extLst>
            <a:ext uri="{FF2B5EF4-FFF2-40B4-BE49-F238E27FC236}">
              <a16:creationId xmlns:a16="http://schemas.microsoft.com/office/drawing/2014/main" id="{69D29C8A-8374-49E4-98CC-3F42CCC36BCC}"/>
            </a:ext>
          </a:extLst>
        </xdr:cNvPr>
        <xdr:cNvSpPr txBox="1"/>
      </xdr:nvSpPr>
      <xdr:spPr>
        <a:xfrm>
          <a:off x="8181975" y="30464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NZ" sz="1100"/>
        </a:p>
      </xdr:txBody>
    </xdr:sp>
    <xdr:clientData/>
  </xdr:oneCellAnchor>
  <xdr:twoCellAnchor editAs="oneCell">
    <xdr:from>
      <xdr:col>7</xdr:col>
      <xdr:colOff>616857</xdr:colOff>
      <xdr:row>1</xdr:row>
      <xdr:rowOff>25702</xdr:rowOff>
    </xdr:from>
    <xdr:to>
      <xdr:col>10</xdr:col>
      <xdr:colOff>645988</xdr:colOff>
      <xdr:row>1</xdr:row>
      <xdr:rowOff>455332</xdr:rowOff>
    </xdr:to>
    <xdr:pic>
      <xdr:nvPicPr>
        <xdr:cNvPr id="3" name="Picture 3">
          <a:extLst>
            <a:ext uri="{FF2B5EF4-FFF2-40B4-BE49-F238E27FC236}">
              <a16:creationId xmlns:a16="http://schemas.microsoft.com/office/drawing/2014/main" id="{0419796D-72BC-41A5-83F3-3DEC31FFA6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4536" y="188988"/>
          <a:ext cx="2199923"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571500</xdr:colOff>
      <xdr:row>86</xdr:row>
      <xdr:rowOff>13607</xdr:rowOff>
    </xdr:from>
    <xdr:to>
      <xdr:col>10</xdr:col>
      <xdr:colOff>907356</xdr:colOff>
      <xdr:row>87</xdr:row>
      <xdr:rowOff>111852</xdr:rowOff>
    </xdr:to>
    <xdr:pic>
      <xdr:nvPicPr>
        <xdr:cNvPr id="5" name="Picture 4">
          <a:extLst>
            <a:ext uri="{FF2B5EF4-FFF2-40B4-BE49-F238E27FC236}">
              <a16:creationId xmlns:a16="http://schemas.microsoft.com/office/drawing/2014/main" id="{DE1E6DA2-2C02-4927-BBAE-00B4A19E47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32429" y="19539857"/>
          <a:ext cx="335856" cy="2887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3659448</xdr:colOff>
      <xdr:row>1</xdr:row>
      <xdr:rowOff>42651</xdr:rowOff>
    </xdr:from>
    <xdr:to>
      <xdr:col>6</xdr:col>
      <xdr:colOff>50300</xdr:colOff>
      <xdr:row>1</xdr:row>
      <xdr:rowOff>472281</xdr:rowOff>
    </xdr:to>
    <xdr:pic>
      <xdr:nvPicPr>
        <xdr:cNvPr id="7" name="Picture 2">
          <a:extLst>
            <a:ext uri="{FF2B5EF4-FFF2-40B4-BE49-F238E27FC236}">
              <a16:creationId xmlns:a16="http://schemas.microsoft.com/office/drawing/2014/main" id="{98AC0306-B82E-46C5-94F7-6E89AE8BDD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1973" y="233151"/>
          <a:ext cx="1991552" cy="429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xdr:colOff>
      <xdr:row>82</xdr:row>
      <xdr:rowOff>114300</xdr:rowOff>
    </xdr:from>
    <xdr:to>
      <xdr:col>5</xdr:col>
      <xdr:colOff>345381</xdr:colOff>
      <xdr:row>83</xdr:row>
      <xdr:rowOff>170363</xdr:rowOff>
    </xdr:to>
    <xdr:pic>
      <xdr:nvPicPr>
        <xdr:cNvPr id="2" name="Picture 1">
          <a:extLst>
            <a:ext uri="{FF2B5EF4-FFF2-40B4-BE49-F238E27FC236}">
              <a16:creationId xmlns:a16="http://schemas.microsoft.com/office/drawing/2014/main" id="{ECCA8529-D1A6-473C-B17B-C324E9789D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05550" y="22021800"/>
          <a:ext cx="335856" cy="2465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156741</xdr:colOff>
      <xdr:row>1</xdr:row>
      <xdr:rowOff>84398</xdr:rowOff>
    </xdr:from>
    <xdr:to>
      <xdr:col>8</xdr:col>
      <xdr:colOff>1078329</xdr:colOff>
      <xdr:row>1</xdr:row>
      <xdr:rowOff>510853</xdr:rowOff>
    </xdr:to>
    <xdr:pic>
      <xdr:nvPicPr>
        <xdr:cNvPr id="2" name="Picture 1">
          <a:extLst>
            <a:ext uri="{FF2B5EF4-FFF2-40B4-BE49-F238E27FC236}">
              <a16:creationId xmlns:a16="http://schemas.microsoft.com/office/drawing/2014/main" id="{1A3A86A2-29CB-4E22-9C0B-C09AA88B8A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2564" y="277309"/>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11206</xdr:colOff>
      <xdr:row>46</xdr:row>
      <xdr:rowOff>89647</xdr:rowOff>
    </xdr:from>
    <xdr:to>
      <xdr:col>9</xdr:col>
      <xdr:colOff>313765</xdr:colOff>
      <xdr:row>47</xdr:row>
      <xdr:rowOff>168089</xdr:rowOff>
    </xdr:to>
    <xdr:pic>
      <xdr:nvPicPr>
        <xdr:cNvPr id="5" name="Picture 4">
          <a:extLst>
            <a:ext uri="{FF2B5EF4-FFF2-40B4-BE49-F238E27FC236}">
              <a16:creationId xmlns:a16="http://schemas.microsoft.com/office/drawing/2014/main" id="{9345823F-F8A7-4CB6-83BA-00538A8D22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589559" y="15587382"/>
          <a:ext cx="302559" cy="26894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625929</xdr:colOff>
      <xdr:row>1</xdr:row>
      <xdr:rowOff>136071</xdr:rowOff>
    </xdr:from>
    <xdr:to>
      <xdr:col>10</xdr:col>
      <xdr:colOff>38922</xdr:colOff>
      <xdr:row>1</xdr:row>
      <xdr:rowOff>568876</xdr:rowOff>
    </xdr:to>
    <xdr:pic>
      <xdr:nvPicPr>
        <xdr:cNvPr id="3" name="Picture 1">
          <a:extLst>
            <a:ext uri="{FF2B5EF4-FFF2-40B4-BE49-F238E27FC236}">
              <a16:creationId xmlns:a16="http://schemas.microsoft.com/office/drawing/2014/main" id="{B3F2365F-F94A-4289-9110-EF1DCB91D9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02786" y="285750"/>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280147</xdr:colOff>
      <xdr:row>68</xdr:row>
      <xdr:rowOff>100853</xdr:rowOff>
    </xdr:from>
    <xdr:to>
      <xdr:col>10</xdr:col>
      <xdr:colOff>616003</xdr:colOff>
      <xdr:row>69</xdr:row>
      <xdr:rowOff>154274</xdr:rowOff>
    </xdr:to>
    <xdr:pic>
      <xdr:nvPicPr>
        <xdr:cNvPr id="5" name="Picture 4">
          <a:extLst>
            <a:ext uri="{FF2B5EF4-FFF2-40B4-BE49-F238E27FC236}">
              <a16:creationId xmlns:a16="http://schemas.microsoft.com/office/drawing/2014/main" id="{ECCB7ED9-066A-4B15-99FB-5E078173A4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46441" y="15139147"/>
          <a:ext cx="335856" cy="28874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459441</xdr:colOff>
      <xdr:row>1</xdr:row>
      <xdr:rowOff>44824</xdr:rowOff>
    </xdr:from>
    <xdr:to>
      <xdr:col>7</xdr:col>
      <xdr:colOff>344762</xdr:colOff>
      <xdr:row>2</xdr:row>
      <xdr:rowOff>20429</xdr:rowOff>
    </xdr:to>
    <xdr:pic>
      <xdr:nvPicPr>
        <xdr:cNvPr id="3" name="Picture 1">
          <a:extLst>
            <a:ext uri="{FF2B5EF4-FFF2-40B4-BE49-F238E27FC236}">
              <a16:creationId xmlns:a16="http://schemas.microsoft.com/office/drawing/2014/main" id="{726D8A3E-CFD3-43B0-84DB-AA6716EE4F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0176" y="235324"/>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44824</xdr:colOff>
      <xdr:row>55</xdr:row>
      <xdr:rowOff>302558</xdr:rowOff>
    </xdr:from>
    <xdr:to>
      <xdr:col>7</xdr:col>
      <xdr:colOff>380680</xdr:colOff>
      <xdr:row>56</xdr:row>
      <xdr:rowOff>165479</xdr:rowOff>
    </xdr:to>
    <xdr:pic>
      <xdr:nvPicPr>
        <xdr:cNvPr id="2" name="Picture 1">
          <a:extLst>
            <a:ext uri="{FF2B5EF4-FFF2-40B4-BE49-F238E27FC236}">
              <a16:creationId xmlns:a16="http://schemas.microsoft.com/office/drawing/2014/main" id="{9DC41A80-A808-4715-AC3C-40E12BA734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2765" y="17503587"/>
          <a:ext cx="335856" cy="28874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56029</xdr:colOff>
      <xdr:row>1</xdr:row>
      <xdr:rowOff>112059</xdr:rowOff>
    </xdr:from>
    <xdr:to>
      <xdr:col>8</xdr:col>
      <xdr:colOff>569115</xdr:colOff>
      <xdr:row>2</xdr:row>
      <xdr:rowOff>40039</xdr:rowOff>
    </xdr:to>
    <xdr:pic>
      <xdr:nvPicPr>
        <xdr:cNvPr id="2" name="Picture 2">
          <a:extLst>
            <a:ext uri="{FF2B5EF4-FFF2-40B4-BE49-F238E27FC236}">
              <a16:creationId xmlns:a16="http://schemas.microsoft.com/office/drawing/2014/main" id="{A51D4D14-C068-441D-8167-539A81BFE3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8579" y="302559"/>
          <a:ext cx="2268083"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369794</xdr:colOff>
      <xdr:row>27</xdr:row>
      <xdr:rowOff>11206</xdr:rowOff>
    </xdr:from>
    <xdr:to>
      <xdr:col>9</xdr:col>
      <xdr:colOff>705650</xdr:colOff>
      <xdr:row>28</xdr:row>
      <xdr:rowOff>109451</xdr:rowOff>
    </xdr:to>
    <xdr:pic>
      <xdr:nvPicPr>
        <xdr:cNvPr id="3" name="Picture 2">
          <a:extLst>
            <a:ext uri="{FF2B5EF4-FFF2-40B4-BE49-F238E27FC236}">
              <a16:creationId xmlns:a16="http://schemas.microsoft.com/office/drawing/2014/main" id="{4006AF27-6587-4465-BF26-A66BD5757A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21235" y="7732059"/>
          <a:ext cx="335856" cy="28874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56029</xdr:colOff>
      <xdr:row>1</xdr:row>
      <xdr:rowOff>112059</xdr:rowOff>
    </xdr:from>
    <xdr:to>
      <xdr:col>9</xdr:col>
      <xdr:colOff>645436</xdr:colOff>
      <xdr:row>2</xdr:row>
      <xdr:rowOff>40039</xdr:rowOff>
    </xdr:to>
    <xdr:pic>
      <xdr:nvPicPr>
        <xdr:cNvPr id="2" name="Picture 2">
          <a:extLst>
            <a:ext uri="{FF2B5EF4-FFF2-40B4-BE49-F238E27FC236}">
              <a16:creationId xmlns:a16="http://schemas.microsoft.com/office/drawing/2014/main" id="{E8ECEAB7-EABD-495D-8951-E50C4FA5C4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2764" y="302559"/>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156882</xdr:colOff>
      <xdr:row>51</xdr:row>
      <xdr:rowOff>22411</xdr:rowOff>
    </xdr:from>
    <xdr:to>
      <xdr:col>10</xdr:col>
      <xdr:colOff>492738</xdr:colOff>
      <xdr:row>52</xdr:row>
      <xdr:rowOff>154273</xdr:rowOff>
    </xdr:to>
    <xdr:pic>
      <xdr:nvPicPr>
        <xdr:cNvPr id="3" name="Picture 2">
          <a:extLst>
            <a:ext uri="{FF2B5EF4-FFF2-40B4-BE49-F238E27FC236}">
              <a16:creationId xmlns:a16="http://schemas.microsoft.com/office/drawing/2014/main" id="{32897CF5-933B-4048-AEF6-1480984BD0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73117" y="14287499"/>
          <a:ext cx="335856" cy="28874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624025</xdr:colOff>
      <xdr:row>1</xdr:row>
      <xdr:rowOff>27433</xdr:rowOff>
    </xdr:from>
    <xdr:to>
      <xdr:col>9</xdr:col>
      <xdr:colOff>491124</xdr:colOff>
      <xdr:row>1</xdr:row>
      <xdr:rowOff>453888</xdr:rowOff>
    </xdr:to>
    <xdr:pic>
      <xdr:nvPicPr>
        <xdr:cNvPr id="3" name="Picture 1">
          <a:extLst>
            <a:ext uri="{FF2B5EF4-FFF2-40B4-BE49-F238E27FC236}">
              <a16:creationId xmlns:a16="http://schemas.microsoft.com/office/drawing/2014/main" id="{87B02B2C-013C-4621-8A49-360CCD0AAD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69561" y="220201"/>
          <a:ext cx="2182127" cy="426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136072</xdr:colOff>
      <xdr:row>43</xdr:row>
      <xdr:rowOff>90714</xdr:rowOff>
    </xdr:from>
    <xdr:to>
      <xdr:col>11</xdr:col>
      <xdr:colOff>471928</xdr:colOff>
      <xdr:row>43</xdr:row>
      <xdr:rowOff>379459</xdr:rowOff>
    </xdr:to>
    <xdr:pic>
      <xdr:nvPicPr>
        <xdr:cNvPr id="2" name="Picture 1">
          <a:extLst>
            <a:ext uri="{FF2B5EF4-FFF2-40B4-BE49-F238E27FC236}">
              <a16:creationId xmlns:a16="http://schemas.microsoft.com/office/drawing/2014/main" id="{F9259B59-642B-4D37-BB7C-3B2F6C7490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389554" y="17496518"/>
          <a:ext cx="335856" cy="28874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3609474</xdr:colOff>
      <xdr:row>1</xdr:row>
      <xdr:rowOff>175460</xdr:rowOff>
    </xdr:from>
    <xdr:to>
      <xdr:col>6</xdr:col>
      <xdr:colOff>339218</xdr:colOff>
      <xdr:row>1</xdr:row>
      <xdr:rowOff>605090</xdr:rowOff>
    </xdr:to>
    <xdr:pic>
      <xdr:nvPicPr>
        <xdr:cNvPr id="2" name="Picture 2">
          <a:extLst>
            <a:ext uri="{FF2B5EF4-FFF2-40B4-BE49-F238E27FC236}">
              <a16:creationId xmlns:a16="http://schemas.microsoft.com/office/drawing/2014/main" id="{43F4000C-C423-49CF-815D-4C9D7413F4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52171" y="363453"/>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201706</xdr:colOff>
      <xdr:row>34</xdr:row>
      <xdr:rowOff>381000</xdr:rowOff>
    </xdr:from>
    <xdr:to>
      <xdr:col>6</xdr:col>
      <xdr:colOff>537562</xdr:colOff>
      <xdr:row>35</xdr:row>
      <xdr:rowOff>199097</xdr:rowOff>
    </xdr:to>
    <xdr:pic>
      <xdr:nvPicPr>
        <xdr:cNvPr id="3" name="Picture 2">
          <a:extLst>
            <a:ext uri="{FF2B5EF4-FFF2-40B4-BE49-F238E27FC236}">
              <a16:creationId xmlns:a16="http://schemas.microsoft.com/office/drawing/2014/main" id="{1D42BB76-D76E-4CE6-A189-54668203C6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87735" y="11956676"/>
          <a:ext cx="335856" cy="28874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3962400</xdr:colOff>
      <xdr:row>1</xdr:row>
      <xdr:rowOff>19050</xdr:rowOff>
    </xdr:from>
    <xdr:to>
      <xdr:col>5</xdr:col>
      <xdr:colOff>136519</xdr:colOff>
      <xdr:row>2</xdr:row>
      <xdr:rowOff>4180</xdr:rowOff>
    </xdr:to>
    <xdr:pic>
      <xdr:nvPicPr>
        <xdr:cNvPr id="3" name="Picture 1">
          <a:extLst>
            <a:ext uri="{FF2B5EF4-FFF2-40B4-BE49-F238E27FC236}">
              <a16:creationId xmlns:a16="http://schemas.microsoft.com/office/drawing/2014/main" id="{702B1FA7-8BA5-4013-968A-C029C0C2A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8225" y="209550"/>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37</xdr:row>
      <xdr:rowOff>1800225</xdr:rowOff>
    </xdr:from>
    <xdr:to>
      <xdr:col>5</xdr:col>
      <xdr:colOff>516831</xdr:colOff>
      <xdr:row>38</xdr:row>
      <xdr:rowOff>250645</xdr:rowOff>
    </xdr:to>
    <xdr:pic>
      <xdr:nvPicPr>
        <xdr:cNvPr id="2" name="Picture 1">
          <a:extLst>
            <a:ext uri="{FF2B5EF4-FFF2-40B4-BE49-F238E27FC236}">
              <a16:creationId xmlns:a16="http://schemas.microsoft.com/office/drawing/2014/main" id="{C2E70276-76D1-4184-A42E-C1C5CE8362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77075" y="11820525"/>
          <a:ext cx="335856" cy="28874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257175</xdr:colOff>
      <xdr:row>3</xdr:row>
      <xdr:rowOff>119644</xdr:rowOff>
    </xdr:to>
    <xdr:pic>
      <xdr:nvPicPr>
        <xdr:cNvPr id="2" name="Picture 1">
          <a:extLst>
            <a:ext uri="{FF2B5EF4-FFF2-40B4-BE49-F238E27FC236}">
              <a16:creationId xmlns:a16="http://schemas.microsoft.com/office/drawing/2014/main" id="{E8726CA2-CE58-4112-8C18-92E95E53D5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3305175" cy="691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390525</xdr:colOff>
      <xdr:row>1</xdr:row>
      <xdr:rowOff>19050</xdr:rowOff>
    </xdr:from>
    <xdr:to>
      <xdr:col>9</xdr:col>
      <xdr:colOff>187319</xdr:colOff>
      <xdr:row>1</xdr:row>
      <xdr:rowOff>442330</xdr:rowOff>
    </xdr:to>
    <xdr:pic>
      <xdr:nvPicPr>
        <xdr:cNvPr id="2" name="Picture 1">
          <a:extLst>
            <a:ext uri="{FF2B5EF4-FFF2-40B4-BE49-F238E27FC236}">
              <a16:creationId xmlns:a16="http://schemas.microsoft.com/office/drawing/2014/main" id="{536C26DB-3C72-4BB3-A52B-E883C7E25D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0300" y="180975"/>
          <a:ext cx="2187569"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38100</xdr:colOff>
      <xdr:row>30</xdr:row>
      <xdr:rowOff>447675</xdr:rowOff>
    </xdr:from>
    <xdr:to>
      <xdr:col>9</xdr:col>
      <xdr:colOff>373956</xdr:colOff>
      <xdr:row>31</xdr:row>
      <xdr:rowOff>279220</xdr:rowOff>
    </xdr:to>
    <xdr:pic>
      <xdr:nvPicPr>
        <xdr:cNvPr id="3" name="Picture 2">
          <a:extLst>
            <a:ext uri="{FF2B5EF4-FFF2-40B4-BE49-F238E27FC236}">
              <a16:creationId xmlns:a16="http://schemas.microsoft.com/office/drawing/2014/main" id="{D716E27F-A24D-4E57-ABDE-68308280F1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48650" y="10934700"/>
          <a:ext cx="335856" cy="28874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673806</xdr:colOff>
      <xdr:row>0</xdr:row>
      <xdr:rowOff>95250</xdr:rowOff>
    </xdr:from>
    <xdr:to>
      <xdr:col>13</xdr:col>
      <xdr:colOff>320315</xdr:colOff>
      <xdr:row>1</xdr:row>
      <xdr:rowOff>358722</xdr:rowOff>
    </xdr:to>
    <xdr:pic>
      <xdr:nvPicPr>
        <xdr:cNvPr id="3" name="Picture 2">
          <a:extLst>
            <a:ext uri="{FF2B5EF4-FFF2-40B4-BE49-F238E27FC236}">
              <a16:creationId xmlns:a16="http://schemas.microsoft.com/office/drawing/2014/main" id="{7C3339F2-EF29-4A5E-90FD-361F6A87D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2028" y="95250"/>
          <a:ext cx="2203795" cy="432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400050</xdr:colOff>
      <xdr:row>138</xdr:row>
      <xdr:rowOff>552450</xdr:rowOff>
    </xdr:from>
    <xdr:to>
      <xdr:col>13</xdr:col>
      <xdr:colOff>735906</xdr:colOff>
      <xdr:row>139</xdr:row>
      <xdr:rowOff>136345</xdr:rowOff>
    </xdr:to>
    <xdr:pic>
      <xdr:nvPicPr>
        <xdr:cNvPr id="2" name="Picture 1">
          <a:extLst>
            <a:ext uri="{FF2B5EF4-FFF2-40B4-BE49-F238E27FC236}">
              <a16:creationId xmlns:a16="http://schemas.microsoft.com/office/drawing/2014/main" id="{EA6944FC-65AC-4A15-BF21-BA750BD3F9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49150" y="46977300"/>
          <a:ext cx="335856" cy="28874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257175</xdr:colOff>
      <xdr:row>3</xdr:row>
      <xdr:rowOff>119644</xdr:rowOff>
    </xdr:to>
    <xdr:pic>
      <xdr:nvPicPr>
        <xdr:cNvPr id="2" name="Picture 1">
          <a:extLst>
            <a:ext uri="{FF2B5EF4-FFF2-40B4-BE49-F238E27FC236}">
              <a16:creationId xmlns:a16="http://schemas.microsoft.com/office/drawing/2014/main" id="{B332BE7C-D46E-43AF-994D-9DC316B8A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0"/>
          <a:ext cx="3305175" cy="691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1893794</xdr:colOff>
      <xdr:row>1</xdr:row>
      <xdr:rowOff>89088</xdr:rowOff>
    </xdr:from>
    <xdr:to>
      <xdr:col>6</xdr:col>
      <xdr:colOff>721094</xdr:colOff>
      <xdr:row>1</xdr:row>
      <xdr:rowOff>378012</xdr:rowOff>
    </xdr:to>
    <xdr:pic>
      <xdr:nvPicPr>
        <xdr:cNvPr id="2" name="Picture 2">
          <a:extLst>
            <a:ext uri="{FF2B5EF4-FFF2-40B4-BE49-F238E27FC236}">
              <a16:creationId xmlns:a16="http://schemas.microsoft.com/office/drawing/2014/main" id="{745D22A0-5F9B-40E6-A043-1C2EC61329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97588" y="245970"/>
          <a:ext cx="1483094" cy="288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447261</xdr:colOff>
      <xdr:row>22</xdr:row>
      <xdr:rowOff>57978</xdr:rowOff>
    </xdr:from>
    <xdr:to>
      <xdr:col>6</xdr:col>
      <xdr:colOff>783117</xdr:colOff>
      <xdr:row>23</xdr:row>
      <xdr:rowOff>156223</xdr:rowOff>
    </xdr:to>
    <xdr:pic>
      <xdr:nvPicPr>
        <xdr:cNvPr id="3" name="Picture 2">
          <a:extLst>
            <a:ext uri="{FF2B5EF4-FFF2-40B4-BE49-F238E27FC236}">
              <a16:creationId xmlns:a16="http://schemas.microsoft.com/office/drawing/2014/main" id="{5D502C61-1AE3-4175-8B8D-F05DF48B50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29261" y="10817087"/>
          <a:ext cx="335856" cy="28874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152400</xdr:colOff>
      <xdr:row>1</xdr:row>
      <xdr:rowOff>57150</xdr:rowOff>
    </xdr:from>
    <xdr:to>
      <xdr:col>7</xdr:col>
      <xdr:colOff>908044</xdr:colOff>
      <xdr:row>1</xdr:row>
      <xdr:rowOff>480430</xdr:rowOff>
    </xdr:to>
    <xdr:pic>
      <xdr:nvPicPr>
        <xdr:cNvPr id="2" name="Picture 2">
          <a:extLst>
            <a:ext uri="{FF2B5EF4-FFF2-40B4-BE49-F238E27FC236}">
              <a16:creationId xmlns:a16="http://schemas.microsoft.com/office/drawing/2014/main" id="{EE230E29-FB6C-4312-ACDD-2D65934AAD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2275" y="247650"/>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549519</xdr:colOff>
      <xdr:row>53</xdr:row>
      <xdr:rowOff>451827</xdr:rowOff>
    </xdr:from>
    <xdr:to>
      <xdr:col>8</xdr:col>
      <xdr:colOff>885375</xdr:colOff>
      <xdr:row>54</xdr:row>
      <xdr:rowOff>117783</xdr:rowOff>
    </xdr:to>
    <xdr:pic>
      <xdr:nvPicPr>
        <xdr:cNvPr id="3" name="Picture 2">
          <a:extLst>
            <a:ext uri="{FF2B5EF4-FFF2-40B4-BE49-F238E27FC236}">
              <a16:creationId xmlns:a16="http://schemas.microsoft.com/office/drawing/2014/main" id="{B9B33EC0-D038-4013-A3E0-005495C74D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26442" y="18415000"/>
          <a:ext cx="335856" cy="28874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152400</xdr:colOff>
      <xdr:row>1</xdr:row>
      <xdr:rowOff>57150</xdr:rowOff>
    </xdr:from>
    <xdr:to>
      <xdr:col>9</xdr:col>
      <xdr:colOff>911219</xdr:colOff>
      <xdr:row>1</xdr:row>
      <xdr:rowOff>480430</xdr:rowOff>
    </xdr:to>
    <xdr:pic>
      <xdr:nvPicPr>
        <xdr:cNvPr id="2" name="Picture 2">
          <a:extLst>
            <a:ext uri="{FF2B5EF4-FFF2-40B4-BE49-F238E27FC236}">
              <a16:creationId xmlns:a16="http://schemas.microsoft.com/office/drawing/2014/main" id="{57C8FA35-F784-4C54-AD6A-A30B5B9EF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63450" y="247650"/>
          <a:ext cx="2184394" cy="42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22412</xdr:colOff>
      <xdr:row>65</xdr:row>
      <xdr:rowOff>89647</xdr:rowOff>
    </xdr:from>
    <xdr:to>
      <xdr:col>10</xdr:col>
      <xdr:colOff>358268</xdr:colOff>
      <xdr:row>66</xdr:row>
      <xdr:rowOff>187892</xdr:rowOff>
    </xdr:to>
    <xdr:pic>
      <xdr:nvPicPr>
        <xdr:cNvPr id="3" name="Picture 2">
          <a:extLst>
            <a:ext uri="{FF2B5EF4-FFF2-40B4-BE49-F238E27FC236}">
              <a16:creationId xmlns:a16="http://schemas.microsoft.com/office/drawing/2014/main" id="{48C4F49B-A80B-4BCC-8690-BF4712C6A8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24647" y="23072912"/>
          <a:ext cx="335856" cy="2887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comcom.govt.nz/__data/assets/pdf_file/0022/363253/Transpower-Individual-Price-Quality-Path-Determination-2025.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hyperlink" Target="https://static.transpower.co.nz/public/uncontrolled_docs/Transpower%20-%20Post%20interruption%20report%20-%20USI%20LOS%20Extreme%20Weather%2023102025.pdf?VersionId=yy83i0VYTU8gQvprUpYNjhftFaecLXVu" TargetMode="External"/><Relationship Id="rId2" Type="http://schemas.openxmlformats.org/officeDocument/2006/relationships/hyperlink" Target="https://static.transpower.co.nz/public/uncontrolled_docs/Transpower%20-%20Post%20interruption%20report%20-%20Hawkes%20Bay%20LOS%20Extreme%20Weather%2028102025.pdf?VersionId=8F2T_qLFHWAj2hSl4L4XXfubSSsDbpHi" TargetMode="External"/><Relationship Id="rId1" Type="http://schemas.openxmlformats.org/officeDocument/2006/relationships/hyperlink" Target="https://static.transpower.co.nz/public/uncontrolled_docs/TP_PIR_EDG-WAI-2%20tripping%20April%202026.pdf?VersionId=vabDFH3nMQXBoC2qbLsgN93paGAAsrXE" TargetMode="External"/><Relationship Id="rId6" Type="http://schemas.openxmlformats.org/officeDocument/2006/relationships/drawing" Target="../drawings/drawing22.xml"/><Relationship Id="rId5" Type="http://schemas.openxmlformats.org/officeDocument/2006/relationships/printerSettings" Target="../printerSettings/printerSettings22.bin"/><Relationship Id="rId4" Type="http://schemas.openxmlformats.org/officeDocument/2006/relationships/hyperlink" Target="https://static.transpower.co.nz/public/uncontrolled_docs/TP_PIR_EDG-WAI-2%20tripping%20April%202026.pdf?VersionId=vabDFH3nMQXBoC2qbLsgN93paGAAsrXE"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www.comcom.govt.nz/__data/assets/pdf_file/0022/363253/Transpower-Individual-Price-Quality-Path-Determination-2025.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565E-CF14-4D64-8FC4-0C8437D79BEC}">
  <sheetPr>
    <pageSetUpPr fitToPage="1"/>
  </sheetPr>
  <dimension ref="A1:I20"/>
  <sheetViews>
    <sheetView tabSelected="1" view="pageBreakPreview" zoomScaleNormal="100" zoomScaleSheetLayoutView="100" workbookViewId="0">
      <selection activeCell="K11" sqref="K11"/>
    </sheetView>
  </sheetViews>
  <sheetFormatPr defaultRowHeight="15" x14ac:dyDescent="0.25"/>
  <cols>
    <col min="7" max="7" width="12.42578125" bestFit="1" customWidth="1"/>
    <col min="8" max="8" width="10.140625" bestFit="1" customWidth="1"/>
  </cols>
  <sheetData>
    <row r="1" spans="1:9" s="1" customFormat="1" ht="18.75" x14ac:dyDescent="0.25">
      <c r="A1" s="310"/>
      <c r="B1" s="310"/>
      <c r="C1" s="311"/>
      <c r="D1" s="312"/>
      <c r="F1" s="311"/>
      <c r="G1" s="310"/>
      <c r="I1" s="312"/>
    </row>
    <row r="2" spans="1:9" x14ac:dyDescent="0.25">
      <c r="A2" s="1"/>
      <c r="B2" s="1"/>
      <c r="C2" s="1"/>
      <c r="D2" s="1"/>
      <c r="E2" s="1"/>
      <c r="F2" s="1"/>
      <c r="G2" s="1"/>
      <c r="H2" s="1"/>
      <c r="I2" s="1"/>
    </row>
    <row r="3" spans="1:9" x14ac:dyDescent="0.25">
      <c r="A3" s="1"/>
      <c r="B3" s="1"/>
      <c r="C3" s="1"/>
      <c r="D3" s="1"/>
      <c r="E3" s="1"/>
      <c r="F3" s="1"/>
      <c r="G3" s="1"/>
      <c r="H3" s="1"/>
      <c r="I3" s="1"/>
    </row>
    <row r="4" spans="1:9" x14ac:dyDescent="0.25">
      <c r="A4" s="1"/>
      <c r="B4" s="1"/>
      <c r="C4" s="1"/>
      <c r="D4" s="1"/>
      <c r="E4" s="1"/>
      <c r="F4" s="1"/>
      <c r="G4" s="1"/>
      <c r="H4" s="1"/>
      <c r="I4" s="1"/>
    </row>
    <row r="5" spans="1:9" x14ac:dyDescent="0.25">
      <c r="A5" s="1"/>
      <c r="B5" s="1"/>
      <c r="C5" s="1"/>
      <c r="D5" s="1"/>
      <c r="E5" s="1"/>
      <c r="F5" s="1"/>
      <c r="G5" s="1"/>
      <c r="H5" s="1"/>
      <c r="I5" s="1"/>
    </row>
    <row r="6" spans="1:9" x14ac:dyDescent="0.25">
      <c r="A6" s="1"/>
      <c r="B6" s="1"/>
      <c r="C6" s="1"/>
      <c r="D6" s="1"/>
      <c r="E6" s="1"/>
      <c r="F6" s="1"/>
      <c r="G6" s="1"/>
      <c r="H6" s="1"/>
      <c r="I6" s="1"/>
    </row>
    <row r="7" spans="1:9" x14ac:dyDescent="0.25">
      <c r="A7" s="1"/>
      <c r="B7" s="1"/>
      <c r="C7" s="1"/>
      <c r="D7" s="1"/>
      <c r="E7" s="1"/>
      <c r="F7" s="1"/>
      <c r="G7" s="1"/>
      <c r="H7" s="1"/>
      <c r="I7" s="1"/>
    </row>
    <row r="8" spans="1:9" x14ac:dyDescent="0.25">
      <c r="A8" s="1"/>
      <c r="B8" s="1"/>
      <c r="C8" s="1"/>
      <c r="D8" s="1"/>
      <c r="E8" s="1"/>
      <c r="F8" s="1"/>
      <c r="G8" s="1"/>
      <c r="H8" s="1"/>
      <c r="I8" s="1"/>
    </row>
    <row r="9" spans="1:9" x14ac:dyDescent="0.25">
      <c r="A9" s="1"/>
      <c r="B9" s="1"/>
      <c r="C9" s="1"/>
      <c r="D9" s="1"/>
      <c r="E9" s="1"/>
      <c r="F9" s="1"/>
      <c r="G9" s="1"/>
      <c r="H9" s="1"/>
      <c r="I9" s="1"/>
    </row>
    <row r="10" spans="1:9" ht="86.25" customHeight="1" x14ac:dyDescent="0.45">
      <c r="A10" s="1"/>
      <c r="B10" s="1096" t="s">
        <v>0</v>
      </c>
      <c r="C10" s="1096"/>
      <c r="D10" s="1096"/>
      <c r="E10" s="1096"/>
      <c r="F10" s="1096"/>
      <c r="G10" s="1096"/>
      <c r="H10" s="1096"/>
      <c r="I10" s="1"/>
    </row>
    <row r="11" spans="1:9" x14ac:dyDescent="0.25">
      <c r="A11" s="1"/>
      <c r="B11" s="136"/>
      <c r="C11" s="136"/>
      <c r="D11" s="136"/>
      <c r="E11" s="136"/>
      <c r="F11" s="136"/>
      <c r="G11" s="136"/>
      <c r="H11" s="136"/>
      <c r="I11" s="1"/>
    </row>
    <row r="12" spans="1:9" x14ac:dyDescent="0.25">
      <c r="A12" s="1"/>
      <c r="B12" s="1"/>
      <c r="C12" s="1"/>
      <c r="D12" s="1"/>
      <c r="E12" s="1"/>
      <c r="F12" s="1"/>
      <c r="G12" s="1"/>
      <c r="H12" s="1"/>
      <c r="I12" s="1"/>
    </row>
    <row r="13" spans="1:9" ht="86.25" customHeight="1" x14ac:dyDescent="0.45">
      <c r="A13" s="1"/>
      <c r="B13" s="1096" t="s">
        <v>1120</v>
      </c>
      <c r="C13" s="1096"/>
      <c r="D13" s="1096"/>
      <c r="E13" s="1096"/>
      <c r="F13" s="1096"/>
      <c r="G13" s="1096"/>
      <c r="H13" s="1096"/>
      <c r="I13" s="1"/>
    </row>
    <row r="14" spans="1:9" x14ac:dyDescent="0.25">
      <c r="A14" s="1"/>
      <c r="B14" s="136"/>
      <c r="C14" s="136"/>
      <c r="D14" s="136"/>
      <c r="E14" s="136"/>
      <c r="F14" s="136"/>
      <c r="G14" s="136"/>
      <c r="H14" s="136"/>
      <c r="I14" s="1"/>
    </row>
    <row r="15" spans="1:9" x14ac:dyDescent="0.25">
      <c r="A15" s="1"/>
      <c r="B15" s="1"/>
      <c r="C15" s="1"/>
      <c r="D15" s="1"/>
      <c r="E15" s="1"/>
      <c r="F15" s="1"/>
      <c r="G15" s="1"/>
      <c r="H15" s="1"/>
      <c r="I15" s="1"/>
    </row>
    <row r="16" spans="1:9" ht="24" x14ac:dyDescent="0.4">
      <c r="A16" s="1"/>
      <c r="B16" s="1097" t="s">
        <v>1</v>
      </c>
      <c r="C16" s="1097"/>
      <c r="D16" s="1097"/>
      <c r="E16" s="1097"/>
      <c r="F16" s="1097"/>
      <c r="G16" s="1097"/>
      <c r="H16" s="1097"/>
      <c r="I16" s="1"/>
    </row>
    <row r="17" spans="1:9" ht="24" x14ac:dyDescent="0.4">
      <c r="A17" s="1"/>
      <c r="B17" s="1097" t="str">
        <f>TEXT(DATE(YEAR('Directors Certificate'!K3)-1,7,1),"d mmmm yyyy")&amp;" to "&amp;TEXT('Directors Certificate'!K3,"d mmmm yyyy")</f>
        <v>1 July 2025 to 30 June 2026</v>
      </c>
      <c r="C17" s="1097"/>
      <c r="D17" s="1097"/>
      <c r="E17" s="1097"/>
      <c r="F17" s="1097"/>
      <c r="G17" s="1097"/>
      <c r="H17" s="1097"/>
      <c r="I17" s="1"/>
    </row>
    <row r="18" spans="1:9" x14ac:dyDescent="0.25">
      <c r="A18" s="1"/>
      <c r="B18" s="1"/>
      <c r="C18" s="1"/>
      <c r="D18" s="1"/>
      <c r="E18" s="1"/>
      <c r="F18" s="1"/>
      <c r="G18" s="1"/>
      <c r="H18" s="1"/>
      <c r="I18" s="1"/>
    </row>
    <row r="19" spans="1:9" x14ac:dyDescent="0.25">
      <c r="A19" s="1"/>
      <c r="B19" s="1"/>
      <c r="C19" s="1"/>
      <c r="D19" s="1" t="str">
        <f>"Published on: "&amp;TEXT('Directors Certificate'!E6,"d mmmm yyyy")</f>
        <v>Published on: 23 October 2026</v>
      </c>
      <c r="E19" s="1"/>
      <c r="F19" s="1"/>
      <c r="G19" s="1"/>
      <c r="H19" s="1"/>
      <c r="I19" s="1"/>
    </row>
    <row r="20" spans="1:9" x14ac:dyDescent="0.25">
      <c r="A20" s="1"/>
      <c r="B20" s="1"/>
      <c r="C20" s="1"/>
      <c r="D20" s="1"/>
      <c r="E20" s="1"/>
      <c r="F20" s="1"/>
      <c r="G20" s="1"/>
      <c r="H20" s="1"/>
      <c r="I20" s="1"/>
    </row>
  </sheetData>
  <mergeCells count="4">
    <mergeCell ref="B10:H10"/>
    <mergeCell ref="B13:H13"/>
    <mergeCell ref="B16:H16"/>
    <mergeCell ref="B17:H17"/>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52BE-E38A-43BA-A56E-8A8EB6CD649D}">
  <sheetPr>
    <pageSetUpPr fitToPage="1"/>
  </sheetPr>
  <dimension ref="B2:M57"/>
  <sheetViews>
    <sheetView view="pageBreakPreview" zoomScale="83" zoomScaleNormal="100" zoomScaleSheetLayoutView="85" workbookViewId="0"/>
  </sheetViews>
  <sheetFormatPr defaultColWidth="9.140625" defaultRowHeight="15" x14ac:dyDescent="0.25"/>
  <cols>
    <col min="1" max="1" width="9.140625" style="1"/>
    <col min="2" max="2" width="39.28515625" style="1" bestFit="1" customWidth="1"/>
    <col min="3" max="3" width="19.5703125" style="1" customWidth="1"/>
    <col min="4" max="4" width="4.5703125" style="1" customWidth="1"/>
    <col min="5" max="5" width="15" style="1" bestFit="1" customWidth="1"/>
    <col min="6" max="6" width="1.85546875" style="1" customWidth="1"/>
    <col min="7" max="10" width="9.140625" style="1"/>
    <col min="11" max="11" width="11.85546875" style="1" customWidth="1"/>
    <col min="12" max="12" width="15" style="1" customWidth="1"/>
    <col min="13" max="16384" width="9.140625" style="1"/>
  </cols>
  <sheetData>
    <row r="2" spans="2:12" ht="44.25" customHeight="1" x14ac:dyDescent="0.25">
      <c r="B2" s="1098" t="s">
        <v>2</v>
      </c>
      <c r="C2" s="1099"/>
      <c r="D2" s="1099"/>
      <c r="E2" s="1099"/>
      <c r="F2" s="1099"/>
      <c r="G2" s="1099"/>
      <c r="H2" s="1099"/>
      <c r="I2" s="1099"/>
      <c r="J2" s="1099"/>
      <c r="K2" s="1099"/>
      <c r="L2" s="1100"/>
    </row>
    <row r="3" spans="2:12" ht="16.5" customHeight="1" x14ac:dyDescent="0.25">
      <c r="B3" s="167"/>
      <c r="C3" s="168"/>
      <c r="D3" s="168"/>
      <c r="E3" s="168"/>
      <c r="F3" s="169"/>
      <c r="G3" s="169"/>
      <c r="H3" s="208"/>
      <c r="I3" s="208"/>
      <c r="J3" s="170" t="s">
        <v>3</v>
      </c>
      <c r="K3" s="622">
        <f>DATE(YEAR(E6),6,30)</f>
        <v>46203</v>
      </c>
      <c r="L3" s="209"/>
    </row>
    <row r="4" spans="2:12" x14ac:dyDescent="0.25">
      <c r="B4" s="372" t="s">
        <v>4</v>
      </c>
      <c r="C4" s="1091"/>
      <c r="D4" s="1091"/>
      <c r="E4" s="1091"/>
      <c r="F4" s="1091"/>
      <c r="G4" s="1091"/>
      <c r="H4" s="1091"/>
      <c r="I4" s="1091"/>
      <c r="J4" s="1091"/>
      <c r="K4" s="1091"/>
      <c r="L4" s="373"/>
    </row>
    <row r="5" spans="2:12" x14ac:dyDescent="0.25">
      <c r="B5" s="12"/>
      <c r="L5" s="16"/>
    </row>
    <row r="6" spans="2:12" x14ac:dyDescent="0.25">
      <c r="B6" s="12"/>
      <c r="C6" s="1092" t="s">
        <v>6</v>
      </c>
      <c r="E6" s="1093">
        <v>46318</v>
      </c>
      <c r="L6" s="16"/>
    </row>
    <row r="7" spans="2:12" x14ac:dyDescent="0.25">
      <c r="B7" s="12"/>
      <c r="L7" s="16"/>
    </row>
    <row r="8" spans="2:12" x14ac:dyDescent="0.25">
      <c r="B8" s="20" t="s">
        <v>7</v>
      </c>
      <c r="E8" s="15" t="s">
        <v>8</v>
      </c>
      <c r="G8" s="15" t="s">
        <v>9</v>
      </c>
      <c r="L8" s="16"/>
    </row>
    <row r="9" spans="2:12" x14ac:dyDescent="0.25">
      <c r="B9" s="12"/>
      <c r="L9" s="16"/>
    </row>
    <row r="10" spans="2:12" x14ac:dyDescent="0.25">
      <c r="B10" s="12" t="s">
        <v>10</v>
      </c>
      <c r="E10" s="1" t="s">
        <v>11</v>
      </c>
      <c r="G10" s="1" t="s">
        <v>12</v>
      </c>
      <c r="L10" s="16"/>
    </row>
    <row r="11" spans="2:12" x14ac:dyDescent="0.25">
      <c r="B11" s="185" t="s">
        <v>13</v>
      </c>
      <c r="C11" s="1094"/>
      <c r="D11" s="1094"/>
      <c r="E11" s="1094" t="s">
        <v>14</v>
      </c>
      <c r="F11" s="1094"/>
      <c r="G11" s="1094" t="s">
        <v>12</v>
      </c>
      <c r="H11" s="1094"/>
      <c r="I11" s="1094"/>
      <c r="J11" s="1094"/>
      <c r="K11" s="1094"/>
      <c r="L11" s="189"/>
    </row>
    <row r="12" spans="2:12" x14ac:dyDescent="0.25">
      <c r="B12" s="12" t="s">
        <v>15</v>
      </c>
      <c r="E12" s="1" t="s">
        <v>11</v>
      </c>
      <c r="G12" s="1" t="s">
        <v>12</v>
      </c>
      <c r="L12" s="16"/>
    </row>
    <row r="13" spans="2:12" x14ac:dyDescent="0.25">
      <c r="B13" s="185" t="s">
        <v>16</v>
      </c>
      <c r="C13" s="1094"/>
      <c r="D13" s="1094"/>
      <c r="E13" s="1094" t="s">
        <v>14</v>
      </c>
      <c r="F13" s="1094"/>
      <c r="G13" s="1094" t="s">
        <v>12</v>
      </c>
      <c r="H13" s="1094"/>
      <c r="I13" s="1094"/>
      <c r="J13" s="1094"/>
      <c r="K13" s="1094"/>
      <c r="L13" s="189"/>
    </row>
    <row r="14" spans="2:12" x14ac:dyDescent="0.25">
      <c r="B14" s="12" t="s">
        <v>17</v>
      </c>
      <c r="E14" s="1" t="s">
        <v>11</v>
      </c>
      <c r="G14" s="1" t="s">
        <v>12</v>
      </c>
      <c r="L14" s="16"/>
    </row>
    <row r="15" spans="2:12" x14ac:dyDescent="0.25">
      <c r="B15" s="185" t="s">
        <v>18</v>
      </c>
      <c r="C15" s="1094"/>
      <c r="D15" s="1094"/>
      <c r="E15" s="1094" t="s">
        <v>11</v>
      </c>
      <c r="F15" s="1094"/>
      <c r="G15" s="1094" t="s">
        <v>12</v>
      </c>
      <c r="H15" s="1094"/>
      <c r="I15" s="1094"/>
      <c r="J15" s="1094"/>
      <c r="K15" s="1094"/>
      <c r="L15" s="189"/>
    </row>
    <row r="16" spans="2:12" x14ac:dyDescent="0.25">
      <c r="B16" s="12" t="s">
        <v>19</v>
      </c>
      <c r="E16" s="1" t="s">
        <v>14</v>
      </c>
      <c r="G16" s="1" t="s">
        <v>12</v>
      </c>
      <c r="L16" s="16"/>
    </row>
    <row r="17" spans="2:13" x14ac:dyDescent="0.25">
      <c r="B17" s="185" t="s">
        <v>20</v>
      </c>
      <c r="C17" s="1094"/>
      <c r="D17" s="1094"/>
      <c r="E17" s="1094" t="s">
        <v>14</v>
      </c>
      <c r="F17" s="1094"/>
      <c r="G17" s="1094" t="s">
        <v>12</v>
      </c>
      <c r="H17" s="1094"/>
      <c r="I17" s="1094"/>
      <c r="J17" s="1094"/>
      <c r="K17" s="1094"/>
      <c r="L17" s="189"/>
    </row>
    <row r="18" spans="2:13" x14ac:dyDescent="0.25">
      <c r="B18" s="12" t="s">
        <v>21</v>
      </c>
      <c r="E18" s="1" t="s">
        <v>14</v>
      </c>
      <c r="G18" s="1" t="s">
        <v>12</v>
      </c>
      <c r="L18" s="16"/>
    </row>
    <row r="19" spans="2:13" x14ac:dyDescent="0.25">
      <c r="B19" s="185" t="s">
        <v>22</v>
      </c>
      <c r="C19" s="1094"/>
      <c r="D19" s="1094"/>
      <c r="E19" s="1094" t="s">
        <v>14</v>
      </c>
      <c r="F19" s="1094"/>
      <c r="G19" s="1094" t="s">
        <v>12</v>
      </c>
      <c r="H19" s="1094"/>
      <c r="I19" s="1094"/>
      <c r="J19" s="1094"/>
      <c r="K19" s="1094"/>
      <c r="L19" s="189"/>
    </row>
    <row r="20" spans="2:13" ht="15" customHeight="1" x14ac:dyDescent="0.25">
      <c r="B20" s="12"/>
      <c r="L20" s="16"/>
    </row>
    <row r="21" spans="2:13" ht="61.5" customHeight="1" x14ac:dyDescent="0.25">
      <c r="B21" s="1112" t="s">
        <v>23</v>
      </c>
      <c r="C21" s="1113"/>
      <c r="E21" s="474" t="s">
        <v>11</v>
      </c>
      <c r="F21" s="474"/>
      <c r="G21" s="474" t="s">
        <v>24</v>
      </c>
      <c r="H21" s="474"/>
      <c r="I21" s="474"/>
      <c r="J21" s="474"/>
      <c r="K21" s="474"/>
      <c r="L21" s="602"/>
      <c r="M21" s="474"/>
    </row>
    <row r="22" spans="2:13" x14ac:dyDescent="0.25">
      <c r="B22" s="185"/>
      <c r="C22" s="1094"/>
      <c r="D22" s="1094"/>
      <c r="E22" s="1095"/>
      <c r="F22" s="1095"/>
      <c r="G22" s="1095"/>
      <c r="H22" s="1095"/>
      <c r="I22" s="1095"/>
      <c r="J22" s="1095"/>
      <c r="K22" s="1095"/>
      <c r="L22" s="603"/>
      <c r="M22" s="474"/>
    </row>
    <row r="23" spans="2:13" ht="36" customHeight="1" x14ac:dyDescent="0.25">
      <c r="B23" s="1107" t="s">
        <v>25</v>
      </c>
      <c r="C23" s="1108"/>
      <c r="E23" s="474" t="s">
        <v>11</v>
      </c>
      <c r="F23" s="474"/>
      <c r="G23" s="474" t="s">
        <v>26</v>
      </c>
      <c r="H23" s="474"/>
      <c r="I23" s="474"/>
      <c r="J23" s="474"/>
      <c r="K23" s="474"/>
      <c r="L23" s="602"/>
      <c r="M23" s="474"/>
    </row>
    <row r="24" spans="2:13" x14ac:dyDescent="0.25">
      <c r="B24" s="185"/>
      <c r="C24" s="1094"/>
      <c r="D24" s="1094"/>
      <c r="E24" s="1095"/>
      <c r="F24" s="1095"/>
      <c r="G24" s="1095"/>
      <c r="H24" s="1095"/>
      <c r="I24" s="1095"/>
      <c r="J24" s="1095"/>
      <c r="K24" s="1095"/>
      <c r="L24" s="603"/>
      <c r="M24" s="474"/>
    </row>
    <row r="25" spans="2:13" ht="30" customHeight="1" x14ac:dyDescent="0.25">
      <c r="B25" s="1110" t="s">
        <v>27</v>
      </c>
      <c r="C25" s="1111"/>
      <c r="E25" s="474" t="s">
        <v>11</v>
      </c>
      <c r="F25" s="474"/>
      <c r="G25" s="474" t="s">
        <v>28</v>
      </c>
      <c r="H25" s="474"/>
      <c r="I25" s="474"/>
      <c r="J25" s="474"/>
      <c r="K25" s="474"/>
      <c r="L25" s="602"/>
      <c r="M25" s="474"/>
    </row>
    <row r="26" spans="2:13" x14ac:dyDescent="0.25">
      <c r="B26" s="185"/>
      <c r="C26" s="1094"/>
      <c r="D26" s="1094"/>
      <c r="E26" s="1094"/>
      <c r="F26" s="1094"/>
      <c r="G26" s="1094"/>
      <c r="H26" s="1094"/>
      <c r="I26" s="1094"/>
      <c r="J26" s="1094"/>
      <c r="K26" s="1094"/>
      <c r="L26" s="189"/>
    </row>
    <row r="27" spans="2:13" ht="70.5" customHeight="1" x14ac:dyDescent="0.25">
      <c r="B27" s="12"/>
      <c r="L27" s="16"/>
    </row>
    <row r="28" spans="2:13" x14ac:dyDescent="0.25">
      <c r="B28" s="17"/>
      <c r="C28" s="18"/>
      <c r="D28" s="18"/>
      <c r="E28" s="18"/>
      <c r="F28" s="18"/>
      <c r="G28" s="18"/>
      <c r="H28" s="18"/>
      <c r="I28" s="18"/>
      <c r="J28" s="18"/>
      <c r="K28" s="18"/>
      <c r="L28" s="19"/>
    </row>
    <row r="29" spans="2:13" x14ac:dyDescent="0.25">
      <c r="B29" s="1101" t="s">
        <v>29</v>
      </c>
      <c r="C29" s="1102"/>
      <c r="D29" s="1102"/>
      <c r="E29" s="1102"/>
      <c r="F29" s="1102"/>
      <c r="G29" s="1102"/>
      <c r="H29" s="1102"/>
      <c r="I29" s="1102"/>
      <c r="J29" s="1102"/>
      <c r="K29" s="1102"/>
      <c r="L29" s="1103"/>
    </row>
    <row r="30" spans="2:13" x14ac:dyDescent="0.25">
      <c r="B30" s="37"/>
      <c r="C30" s="13"/>
      <c r="D30" s="13"/>
      <c r="E30" s="13"/>
      <c r="F30" s="13"/>
      <c r="G30" s="13"/>
      <c r="H30" s="13"/>
      <c r="I30" s="13"/>
      <c r="J30" s="13"/>
      <c r="K30" s="13"/>
      <c r="L30" s="14"/>
    </row>
    <row r="31" spans="2:13" x14ac:dyDescent="0.25">
      <c r="B31" s="1104"/>
      <c r="C31" s="1105"/>
      <c r="D31" s="1105"/>
      <c r="E31" s="1105"/>
      <c r="F31" s="1105"/>
      <c r="G31" s="1105"/>
      <c r="H31" s="1105"/>
      <c r="I31" s="1105"/>
      <c r="J31" s="1105"/>
      <c r="K31" s="1105"/>
      <c r="L31" s="1106"/>
    </row>
    <row r="32" spans="2:13" x14ac:dyDescent="0.25">
      <c r="B32" s="12"/>
      <c r="L32" s="16"/>
    </row>
    <row r="33" spans="2:12" x14ac:dyDescent="0.25">
      <c r="B33" s="1107"/>
      <c r="C33" s="1108"/>
      <c r="D33" s="1108"/>
      <c r="E33" s="1108"/>
      <c r="F33" s="1108"/>
      <c r="G33" s="1108"/>
      <c r="H33" s="1108"/>
      <c r="I33" s="1108"/>
      <c r="J33" s="1108"/>
      <c r="K33" s="1108"/>
      <c r="L33" s="1109"/>
    </row>
    <row r="34" spans="2:12" x14ac:dyDescent="0.25">
      <c r="B34" s="1107"/>
      <c r="C34" s="1108"/>
      <c r="D34" s="1108"/>
      <c r="E34" s="1108"/>
      <c r="F34" s="1108"/>
      <c r="G34" s="1108"/>
      <c r="H34" s="1108"/>
      <c r="I34" s="1108"/>
      <c r="J34" s="1108"/>
      <c r="K34" s="1108"/>
      <c r="L34" s="1109"/>
    </row>
    <row r="35" spans="2:12" x14ac:dyDescent="0.25">
      <c r="B35" s="1107"/>
      <c r="C35" s="1108"/>
      <c r="D35" s="1108"/>
      <c r="E35" s="1108"/>
      <c r="F35" s="1108"/>
      <c r="G35" s="1108"/>
      <c r="H35" s="1108"/>
      <c r="I35" s="1108"/>
      <c r="J35" s="1108"/>
      <c r="K35" s="1108"/>
      <c r="L35" s="1109"/>
    </row>
    <row r="36" spans="2:12" x14ac:dyDescent="0.25">
      <c r="B36" s="1107"/>
      <c r="C36" s="1108"/>
      <c r="D36" s="1108"/>
      <c r="E36" s="1108"/>
      <c r="F36" s="1108"/>
      <c r="G36" s="1108"/>
      <c r="H36" s="1108"/>
      <c r="I36" s="1108"/>
      <c r="J36" s="1108"/>
      <c r="K36" s="1108"/>
      <c r="L36" s="1109"/>
    </row>
    <row r="37" spans="2:12" x14ac:dyDescent="0.25">
      <c r="B37" s="1107"/>
      <c r="C37" s="1108"/>
      <c r="D37" s="1108"/>
      <c r="E37" s="1108"/>
      <c r="F37" s="1108"/>
      <c r="G37" s="1108"/>
      <c r="H37" s="1108"/>
      <c r="I37" s="1108"/>
      <c r="J37" s="1108"/>
      <c r="K37" s="1108"/>
      <c r="L37" s="1109"/>
    </row>
    <row r="38" spans="2:12" x14ac:dyDescent="0.25">
      <c r="B38" s="1107"/>
      <c r="C38" s="1108"/>
      <c r="D38" s="1108"/>
      <c r="E38" s="1108"/>
      <c r="F38" s="1108"/>
      <c r="G38" s="1108"/>
      <c r="H38" s="1108"/>
      <c r="I38" s="1108"/>
      <c r="J38" s="1108"/>
      <c r="K38" s="1108"/>
      <c r="L38" s="1109"/>
    </row>
    <row r="39" spans="2:12" x14ac:dyDescent="0.25">
      <c r="B39" s="12"/>
      <c r="L39" s="16"/>
    </row>
    <row r="40" spans="2:12" x14ac:dyDescent="0.25">
      <c r="B40" s="12"/>
      <c r="L40" s="16"/>
    </row>
    <row r="41" spans="2:12" x14ac:dyDescent="0.25">
      <c r="B41" s="12"/>
      <c r="L41" s="16"/>
    </row>
    <row r="42" spans="2:12" x14ac:dyDescent="0.25">
      <c r="B42" s="12"/>
      <c r="L42" s="16"/>
    </row>
    <row r="43" spans="2:12" x14ac:dyDescent="0.25">
      <c r="B43" s="12"/>
      <c r="L43" s="16"/>
    </row>
    <row r="44" spans="2:12" x14ac:dyDescent="0.25">
      <c r="B44" s="12"/>
      <c r="L44" s="16"/>
    </row>
    <row r="45" spans="2:12" x14ac:dyDescent="0.25">
      <c r="B45" s="12"/>
      <c r="L45" s="16"/>
    </row>
    <row r="46" spans="2:12" x14ac:dyDescent="0.25">
      <c r="B46" s="12"/>
      <c r="L46" s="16"/>
    </row>
    <row r="47" spans="2:12" x14ac:dyDescent="0.25">
      <c r="B47" s="12"/>
      <c r="L47" s="16"/>
    </row>
    <row r="48" spans="2:12" x14ac:dyDescent="0.25">
      <c r="B48" s="12"/>
      <c r="L48" s="16"/>
    </row>
    <row r="49" spans="2:12" x14ac:dyDescent="0.25">
      <c r="B49" s="12"/>
      <c r="L49" s="16"/>
    </row>
    <row r="50" spans="2:12" x14ac:dyDescent="0.25">
      <c r="B50" s="12"/>
      <c r="L50" s="16"/>
    </row>
    <row r="51" spans="2:12" x14ac:dyDescent="0.25">
      <c r="B51" s="12"/>
      <c r="L51" s="16"/>
    </row>
    <row r="52" spans="2:12" x14ac:dyDescent="0.25">
      <c r="B52" s="12"/>
      <c r="L52" s="16"/>
    </row>
    <row r="53" spans="2:12" x14ac:dyDescent="0.25">
      <c r="B53" s="12"/>
      <c r="L53" s="16"/>
    </row>
    <row r="54" spans="2:12" x14ac:dyDescent="0.25">
      <c r="B54" s="12"/>
      <c r="L54" s="16"/>
    </row>
    <row r="55" spans="2:12" x14ac:dyDescent="0.25">
      <c r="B55" s="12"/>
      <c r="L55" s="16"/>
    </row>
    <row r="56" spans="2:12" x14ac:dyDescent="0.25">
      <c r="B56" s="12"/>
      <c r="L56" s="16"/>
    </row>
    <row r="57" spans="2:12" x14ac:dyDescent="0.25">
      <c r="B57" s="153" t="str">
        <f>"Transpower's Annual Compliance Statement for the year ending " &amp; TEXT('Directors Certificate'!$K$3,"dd mmmm yyyy")</f>
        <v>Transpower's Annual Compliance Statement for the year ending 30 June 2026</v>
      </c>
      <c r="C57" s="151"/>
      <c r="D57" s="151"/>
      <c r="E57" s="151"/>
      <c r="F57" s="151"/>
      <c r="G57" s="151"/>
      <c r="H57" s="151"/>
      <c r="I57" s="151"/>
      <c r="J57" s="151"/>
      <c r="K57" s="151"/>
      <c r="L57" s="152"/>
    </row>
  </sheetData>
  <mergeCells count="7">
    <mergeCell ref="B2:L2"/>
    <mergeCell ref="B29:L29"/>
    <mergeCell ref="B31:L31"/>
    <mergeCell ref="B33:L38"/>
    <mergeCell ref="B23:C23"/>
    <mergeCell ref="B25:C25"/>
    <mergeCell ref="B21:C21"/>
  </mergeCells>
  <phoneticPr fontId="84" type="noConversion"/>
  <dataValidations count="3">
    <dataValidation type="list" allowBlank="1" showInputMessage="1" showErrorMessage="1" sqref="E25 E21 E23" xr:uid="{E2E1CBFB-8C6B-4C06-B243-4F25B42613BC}">
      <formula1>"Yes,No,Yes/No"</formula1>
    </dataValidation>
    <dataValidation type="list" allowBlank="1" showInputMessage="1" showErrorMessage="1" sqref="E22 E20" xr:uid="{E06DFFEF-695E-40BE-9142-34DFA69941A5}">
      <formula1>"yes,no,yes/no"</formula1>
    </dataValidation>
    <dataValidation type="list" allowBlank="1" showInputMessage="1" showErrorMessage="1" sqref="E10:E19" xr:uid="{BDCD11DD-931A-4E8A-A8EA-EAAAF238188A}">
      <formula1>"Yes,No,Yes/No,Not applicable"</formula1>
    </dataValidation>
  </dataValidations>
  <hyperlinks>
    <hyperlink ref="B2:L2" location="'Table of Contents'!A1" display="'Table of Contents'!A1" xr:uid="{6B7C044E-FA39-4FC6-A24F-09121D543E3B}"/>
  </hyperlinks>
  <pageMargins left="0.70866141732283472" right="0.70866141732283472" top="0.74803149606299213" bottom="0.74803149606299213" header="0.31496062992125984" footer="0.31496062992125984"/>
  <pageSetup paperSize="9" scale="60" orientation="portrait" r:id="rId1"/>
  <headerFooter>
    <oddFooter>&amp;L&amp;F&amp;C&amp;D&amp;RTab: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A98C-F44A-4399-952C-4CDC3EAEB117}">
  <sheetPr>
    <pageSetUpPr fitToPage="1"/>
  </sheetPr>
  <dimension ref="B2:T41"/>
  <sheetViews>
    <sheetView view="pageBreakPreview" zoomScale="85" zoomScaleNormal="100" zoomScaleSheetLayoutView="85" workbookViewId="0">
      <selection activeCell="T13" sqref="T13"/>
    </sheetView>
  </sheetViews>
  <sheetFormatPr defaultColWidth="9.140625" defaultRowHeight="15" x14ac:dyDescent="0.25"/>
  <cols>
    <col min="1" max="1" width="9.140625" style="1"/>
    <col min="2" max="2" width="39.28515625" style="1" bestFit="1" customWidth="1"/>
    <col min="3" max="3" width="39.28515625" style="1" customWidth="1"/>
    <col min="4" max="16384" width="9.140625" style="1"/>
  </cols>
  <sheetData>
    <row r="2" spans="2:20" ht="21" x14ac:dyDescent="0.35">
      <c r="B2" s="176" t="s">
        <v>30</v>
      </c>
      <c r="C2" s="177"/>
      <c r="D2" s="178"/>
      <c r="E2" s="178"/>
      <c r="F2" s="178"/>
      <c r="G2" s="178"/>
      <c r="H2" s="178"/>
      <c r="I2" s="178"/>
      <c r="J2" s="178"/>
      <c r="K2" s="178"/>
      <c r="L2" s="178"/>
      <c r="M2" s="178"/>
      <c r="N2" s="178"/>
      <c r="O2" s="178"/>
      <c r="P2" s="178"/>
      <c r="Q2" s="178"/>
      <c r="R2" s="179"/>
      <c r="T2" s="15"/>
    </row>
    <row r="3" spans="2:20" x14ac:dyDescent="0.25">
      <c r="B3" s="180" t="s">
        <v>31</v>
      </c>
      <c r="C3" s="181"/>
      <c r="D3" s="181"/>
      <c r="E3" s="181"/>
      <c r="F3" s="181"/>
      <c r="G3" s="181"/>
      <c r="H3" s="181"/>
      <c r="I3" s="181"/>
      <c r="J3" s="181"/>
      <c r="K3" s="181"/>
      <c r="L3" s="181"/>
      <c r="M3" s="181"/>
      <c r="N3" s="181"/>
      <c r="O3" s="181"/>
      <c r="P3" s="181"/>
      <c r="Q3" s="181"/>
      <c r="R3" s="182"/>
    </row>
    <row r="4" spans="2:20" x14ac:dyDescent="0.25">
      <c r="B4" s="12"/>
      <c r="R4" s="16"/>
    </row>
    <row r="5" spans="2:20" x14ac:dyDescent="0.25">
      <c r="B5" s="12"/>
      <c r="R5" s="16"/>
    </row>
    <row r="6" spans="2:20" x14ac:dyDescent="0.25">
      <c r="B6" s="12"/>
      <c r="R6" s="16"/>
    </row>
    <row r="7" spans="2:20" x14ac:dyDescent="0.25">
      <c r="B7" s="12"/>
      <c r="R7" s="16"/>
    </row>
    <row r="8" spans="2:20" x14ac:dyDescent="0.25">
      <c r="B8" s="12"/>
      <c r="R8" s="16"/>
    </row>
    <row r="9" spans="2:20" x14ac:dyDescent="0.25">
      <c r="B9" s="12"/>
      <c r="R9" s="16"/>
    </row>
    <row r="10" spans="2:20" x14ac:dyDescent="0.25">
      <c r="B10" s="12"/>
      <c r="R10" s="16"/>
    </row>
    <row r="11" spans="2:20" x14ac:dyDescent="0.25">
      <c r="B11" s="12"/>
      <c r="R11" s="16"/>
    </row>
    <row r="12" spans="2:20" x14ac:dyDescent="0.25">
      <c r="B12" s="12"/>
      <c r="R12" s="16"/>
    </row>
    <row r="13" spans="2:20" x14ac:dyDescent="0.25">
      <c r="B13" s="12"/>
      <c r="R13" s="16"/>
    </row>
    <row r="14" spans="2:20" x14ac:dyDescent="0.25">
      <c r="B14" s="12"/>
      <c r="R14" s="16"/>
    </row>
    <row r="15" spans="2:20" x14ac:dyDescent="0.25">
      <c r="B15" s="12"/>
      <c r="R15" s="16"/>
    </row>
    <row r="16" spans="2:20" x14ac:dyDescent="0.25">
      <c r="B16" s="12"/>
      <c r="R16" s="16"/>
    </row>
    <row r="17" spans="2:18" x14ac:dyDescent="0.25">
      <c r="B17" s="12"/>
      <c r="R17" s="16"/>
    </row>
    <row r="18" spans="2:18" ht="47.25" customHeight="1" x14ac:dyDescent="0.25">
      <c r="B18" s="12"/>
      <c r="R18" s="16"/>
    </row>
    <row r="19" spans="2:18" x14ac:dyDescent="0.25">
      <c r="B19" s="12"/>
      <c r="R19" s="16"/>
    </row>
    <row r="20" spans="2:18" x14ac:dyDescent="0.25">
      <c r="B20" s="12"/>
      <c r="R20" s="16"/>
    </row>
    <row r="21" spans="2:18" x14ac:dyDescent="0.25">
      <c r="B21" s="12"/>
      <c r="R21" s="16"/>
    </row>
    <row r="22" spans="2:18" x14ac:dyDescent="0.25">
      <c r="B22" s="12"/>
      <c r="R22" s="16"/>
    </row>
    <row r="23" spans="2:18" x14ac:dyDescent="0.25">
      <c r="B23" s="12"/>
      <c r="R23" s="16"/>
    </row>
    <row r="24" spans="2:18" x14ac:dyDescent="0.25">
      <c r="B24" s="12"/>
      <c r="R24" s="16"/>
    </row>
    <row r="25" spans="2:18" x14ac:dyDescent="0.25">
      <c r="B25" s="12"/>
      <c r="R25" s="16"/>
    </row>
    <row r="26" spans="2:18" x14ac:dyDescent="0.25">
      <c r="B26" s="12"/>
      <c r="R26" s="16"/>
    </row>
    <row r="27" spans="2:18" x14ac:dyDescent="0.25">
      <c r="B27" s="12"/>
      <c r="R27" s="16"/>
    </row>
    <row r="28" spans="2:18" x14ac:dyDescent="0.25">
      <c r="B28" s="12"/>
      <c r="R28" s="16"/>
    </row>
    <row r="29" spans="2:18" x14ac:dyDescent="0.25">
      <c r="B29" s="12"/>
      <c r="R29" s="16"/>
    </row>
    <row r="30" spans="2:18" x14ac:dyDescent="0.25">
      <c r="B30" s="12"/>
      <c r="R30" s="16"/>
    </row>
    <row r="31" spans="2:18" x14ac:dyDescent="0.25">
      <c r="B31" s="12"/>
      <c r="R31" s="16"/>
    </row>
    <row r="32" spans="2:18" x14ac:dyDescent="0.25">
      <c r="B32" s="12"/>
      <c r="R32" s="16"/>
    </row>
    <row r="33" spans="2:18" x14ac:dyDescent="0.25">
      <c r="B33" s="12"/>
      <c r="R33" s="16"/>
    </row>
    <row r="34" spans="2:18" x14ac:dyDescent="0.25">
      <c r="B34" s="12"/>
      <c r="R34" s="16"/>
    </row>
    <row r="35" spans="2:18" x14ac:dyDescent="0.25">
      <c r="B35" s="12"/>
      <c r="R35" s="16"/>
    </row>
    <row r="36" spans="2:18" x14ac:dyDescent="0.25">
      <c r="B36" s="12"/>
      <c r="R36" s="16"/>
    </row>
    <row r="37" spans="2:18" x14ac:dyDescent="0.25">
      <c r="B37" s="12"/>
      <c r="R37" s="16"/>
    </row>
    <row r="38" spans="2:18" x14ac:dyDescent="0.25">
      <c r="B38" s="12"/>
      <c r="R38" s="16"/>
    </row>
    <row r="39" spans="2:18" x14ac:dyDescent="0.25">
      <c r="B39" s="12"/>
      <c r="R39" s="16"/>
    </row>
    <row r="40" spans="2:18" x14ac:dyDescent="0.25">
      <c r="B40" s="12"/>
      <c r="R40" s="16"/>
    </row>
    <row r="41" spans="2:18" x14ac:dyDescent="0.25">
      <c r="B41" s="153" t="str">
        <f>'Directors Certificate'!B57</f>
        <v>Transpower's Annual Compliance Statement for the year ending 30 June 2026</v>
      </c>
      <c r="C41" s="151"/>
      <c r="D41" s="151"/>
      <c r="E41" s="151"/>
      <c r="F41" s="151"/>
      <c r="G41" s="309"/>
      <c r="H41" s="309"/>
      <c r="I41" s="309"/>
      <c r="J41" s="309"/>
      <c r="K41" s="309"/>
      <c r="L41" s="309"/>
      <c r="M41" s="309"/>
      <c r="N41" s="309"/>
      <c r="O41" s="309"/>
      <c r="P41" s="309"/>
      <c r="Q41" s="309"/>
      <c r="R41" s="309"/>
    </row>
  </sheetData>
  <pageMargins left="0.70866141732283472" right="0.70866141732283472" top="0.74803149606299213" bottom="0.74803149606299213" header="0.31496062992125984" footer="0.31496062992125984"/>
  <pageSetup paperSize="9" scale="60" orientation="landscape" r:id="rId1"/>
  <headerFooter>
    <oddFooter>&amp;L&amp;F&amp;C&amp;D&amp;RSheet: &amp;A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31862-B9A2-4E15-800D-1C35B2F428A7}">
  <sheetPr>
    <pageSetUpPr fitToPage="1"/>
  </sheetPr>
  <dimension ref="B2:D115"/>
  <sheetViews>
    <sheetView view="pageBreakPreview" topLeftCell="A53" zoomScale="75" zoomScaleNormal="100" zoomScaleSheetLayoutView="70" workbookViewId="0"/>
  </sheetViews>
  <sheetFormatPr defaultColWidth="9" defaultRowHeight="15" x14ac:dyDescent="0.25"/>
  <cols>
    <col min="1" max="1" width="5.7109375" style="1" customWidth="1"/>
    <col min="2" max="2" width="135" style="1" customWidth="1"/>
    <col min="3" max="3" width="17.42578125" style="1" customWidth="1"/>
    <col min="4" max="4" width="83.5703125" style="1" customWidth="1"/>
    <col min="5" max="5" width="4.28515625" style="1" customWidth="1"/>
    <col min="6" max="16384" width="9" style="1"/>
  </cols>
  <sheetData>
    <row r="2" spans="2:4" ht="26.25" customHeight="1" x14ac:dyDescent="0.25">
      <c r="B2" s="171" t="s">
        <v>32</v>
      </c>
      <c r="C2" s="172"/>
      <c r="D2" s="173"/>
    </row>
    <row r="3" spans="2:4" ht="29.25" customHeight="1" x14ac:dyDescent="0.25">
      <c r="B3" s="326" t="s">
        <v>33</v>
      </c>
      <c r="C3" s="166" t="str">
        <f>"Disclosure Year:  "&amp;TEXT('Directors Certificate'!K3,"d mmmm yyyy")</f>
        <v>Disclosure Year:  30 June 2026</v>
      </c>
      <c r="D3" s="604"/>
    </row>
    <row r="4" spans="2:4" x14ac:dyDescent="0.25">
      <c r="B4" s="327" t="s">
        <v>34</v>
      </c>
      <c r="D4" s="14"/>
    </row>
    <row r="5" spans="2:4" x14ac:dyDescent="0.25">
      <c r="B5" s="333" t="s">
        <v>35</v>
      </c>
      <c r="C5" s="332"/>
      <c r="D5" s="16"/>
    </row>
    <row r="6" spans="2:4" ht="63" customHeight="1" x14ac:dyDescent="0.25">
      <c r="B6" s="1114" t="s">
        <v>1110</v>
      </c>
      <c r="C6" s="1115"/>
      <c r="D6" s="1116"/>
    </row>
    <row r="7" spans="2:4" x14ac:dyDescent="0.25">
      <c r="B7" s="1117"/>
      <c r="C7" s="1118"/>
      <c r="D7" s="1119"/>
    </row>
    <row r="8" spans="2:4" ht="14.25" customHeight="1" x14ac:dyDescent="0.25">
      <c r="B8" s="305" t="s">
        <v>36</v>
      </c>
      <c r="C8" s="34"/>
      <c r="D8" s="102"/>
    </row>
    <row r="9" spans="2:4" ht="14.25" customHeight="1" x14ac:dyDescent="0.25">
      <c r="B9" s="1114" t="s">
        <v>37</v>
      </c>
      <c r="C9" s="1115"/>
      <c r="D9" s="1116"/>
    </row>
    <row r="10" spans="2:4" x14ac:dyDescent="0.25">
      <c r="B10" s="306" t="s">
        <v>38</v>
      </c>
      <c r="D10" s="16"/>
    </row>
    <row r="11" spans="2:4" ht="30.75" customHeight="1" x14ac:dyDescent="0.25">
      <c r="B11" s="1114" t="s">
        <v>39</v>
      </c>
      <c r="C11" s="1115"/>
      <c r="D11" s="1116"/>
    </row>
    <row r="12" spans="2:4" x14ac:dyDescent="0.25">
      <c r="B12" s="17"/>
      <c r="C12" s="18"/>
      <c r="D12" s="19"/>
    </row>
    <row r="14" spans="2:4" ht="21.75" customHeight="1" x14ac:dyDescent="0.25">
      <c r="B14" s="317" t="s">
        <v>40</v>
      </c>
      <c r="C14" s="845" t="s">
        <v>41</v>
      </c>
      <c r="D14" s="318" t="s">
        <v>9</v>
      </c>
    </row>
    <row r="15" spans="2:4" hidden="1" x14ac:dyDescent="0.25">
      <c r="B15" s="26" t="s">
        <v>1121</v>
      </c>
      <c r="C15" s="328" t="s">
        <v>42</v>
      </c>
      <c r="D15" s="36" t="s">
        <v>43</v>
      </c>
    </row>
    <row r="16" spans="2:4" hidden="1" x14ac:dyDescent="0.25">
      <c r="B16" s="12" t="s">
        <v>1122</v>
      </c>
      <c r="C16" s="329" t="s">
        <v>44</v>
      </c>
      <c r="D16" s="16" t="s">
        <v>45</v>
      </c>
    </row>
    <row r="17" spans="2:4" hidden="1" x14ac:dyDescent="0.25">
      <c r="B17" s="39" t="s">
        <v>1123</v>
      </c>
      <c r="C17" s="330" t="s">
        <v>46</v>
      </c>
      <c r="D17" s="40" t="s">
        <v>47</v>
      </c>
    </row>
    <row r="18" spans="2:4" ht="30" hidden="1" x14ac:dyDescent="0.25">
      <c r="B18" s="27" t="s">
        <v>48</v>
      </c>
      <c r="C18" s="313" t="s">
        <v>49</v>
      </c>
      <c r="D18" s="38" t="s">
        <v>9</v>
      </c>
    </row>
    <row r="19" spans="2:4" hidden="1" x14ac:dyDescent="0.25">
      <c r="B19" s="26" t="s">
        <v>1124</v>
      </c>
      <c r="C19" s="328" t="s">
        <v>50</v>
      </c>
      <c r="D19" s="36" t="s">
        <v>51</v>
      </c>
    </row>
    <row r="20" spans="2:4" hidden="1" x14ac:dyDescent="0.25">
      <c r="B20" s="12" t="s">
        <v>1126</v>
      </c>
      <c r="C20" s="329" t="s">
        <v>52</v>
      </c>
      <c r="D20" s="16" t="s">
        <v>53</v>
      </c>
    </row>
    <row r="21" spans="2:4" hidden="1" x14ac:dyDescent="0.25">
      <c r="B21" s="26" t="s">
        <v>286</v>
      </c>
      <c r="C21" s="328" t="s">
        <v>54</v>
      </c>
      <c r="D21" s="36" t="s">
        <v>55</v>
      </c>
    </row>
    <row r="22" spans="2:4" hidden="1" x14ac:dyDescent="0.25">
      <c r="B22" s="12" t="s">
        <v>1128</v>
      </c>
      <c r="C22" s="329" t="s">
        <v>54</v>
      </c>
      <c r="D22" s="16" t="s">
        <v>56</v>
      </c>
    </row>
    <row r="23" spans="2:4" hidden="1" x14ac:dyDescent="0.25">
      <c r="B23" s="26" t="s">
        <v>1125</v>
      </c>
      <c r="C23" s="328" t="s">
        <v>50</v>
      </c>
      <c r="D23" s="36" t="s">
        <v>57</v>
      </c>
    </row>
    <row r="24" spans="2:4" hidden="1" x14ac:dyDescent="0.25">
      <c r="B24" s="12" t="s">
        <v>1129</v>
      </c>
      <c r="C24" s="329" t="s">
        <v>58</v>
      </c>
      <c r="D24" s="16" t="s">
        <v>59</v>
      </c>
    </row>
    <row r="25" spans="2:4" hidden="1" x14ac:dyDescent="0.25">
      <c r="B25" s="26" t="s">
        <v>1131</v>
      </c>
      <c r="C25" s="328" t="s">
        <v>60</v>
      </c>
      <c r="D25" s="36" t="s">
        <v>59</v>
      </c>
    </row>
    <row r="26" spans="2:4" hidden="1" x14ac:dyDescent="0.25">
      <c r="B26" s="12" t="s">
        <v>1132</v>
      </c>
      <c r="C26" s="329" t="s">
        <v>61</v>
      </c>
      <c r="D26" s="16" t="s">
        <v>62</v>
      </c>
    </row>
    <row r="27" spans="2:4" hidden="1" x14ac:dyDescent="0.25">
      <c r="B27" s="26" t="s">
        <v>1133</v>
      </c>
      <c r="C27" s="328" t="s">
        <v>61</v>
      </c>
      <c r="D27" s="36" t="s">
        <v>63</v>
      </c>
    </row>
    <row r="28" spans="2:4" hidden="1" x14ac:dyDescent="0.25">
      <c r="B28" s="12" t="s">
        <v>1134</v>
      </c>
      <c r="C28" s="329" t="s">
        <v>61</v>
      </c>
      <c r="D28" s="16" t="s">
        <v>64</v>
      </c>
    </row>
    <row r="29" spans="2:4" hidden="1" x14ac:dyDescent="0.25">
      <c r="B29" s="26" t="s">
        <v>1135</v>
      </c>
      <c r="C29" s="328" t="s">
        <v>65</v>
      </c>
      <c r="D29" s="36" t="s">
        <v>66</v>
      </c>
    </row>
    <row r="30" spans="2:4" hidden="1" x14ac:dyDescent="0.25">
      <c r="B30" s="12" t="s">
        <v>1136</v>
      </c>
      <c r="C30" s="329" t="s">
        <v>67</v>
      </c>
      <c r="D30" s="16" t="s">
        <v>68</v>
      </c>
    </row>
    <row r="31" spans="2:4" hidden="1" x14ac:dyDescent="0.25">
      <c r="B31" s="26" t="s">
        <v>1137</v>
      </c>
      <c r="C31" s="328" t="s">
        <v>67</v>
      </c>
      <c r="D31" s="36" t="s">
        <v>69</v>
      </c>
    </row>
    <row r="32" spans="2:4" hidden="1" x14ac:dyDescent="0.25">
      <c r="B32" s="17" t="s">
        <v>1130</v>
      </c>
      <c r="C32" s="331" t="s">
        <v>58</v>
      </c>
      <c r="D32" s="19" t="s">
        <v>70</v>
      </c>
    </row>
    <row r="33" spans="2:4" ht="30" hidden="1" x14ac:dyDescent="0.25">
      <c r="B33" s="27" t="s">
        <v>71</v>
      </c>
      <c r="C33" s="313" t="s">
        <v>49</v>
      </c>
      <c r="D33" s="38" t="s">
        <v>9</v>
      </c>
    </row>
    <row r="34" spans="2:4" ht="30" hidden="1" x14ac:dyDescent="0.25">
      <c r="B34" s="48" t="s">
        <v>1127</v>
      </c>
      <c r="C34" s="328" t="s">
        <v>52</v>
      </c>
      <c r="D34" s="45" t="s">
        <v>72</v>
      </c>
    </row>
    <row r="35" spans="2:4" hidden="1" x14ac:dyDescent="0.25">
      <c r="B35" s="12" t="s">
        <v>1138</v>
      </c>
      <c r="C35" s="329" t="s">
        <v>73</v>
      </c>
      <c r="D35" s="16" t="s">
        <v>74</v>
      </c>
    </row>
    <row r="36" spans="2:4" hidden="1" x14ac:dyDescent="0.25">
      <c r="B36" s="26" t="s">
        <v>348</v>
      </c>
      <c r="C36" s="328" t="s">
        <v>75</v>
      </c>
      <c r="D36" s="36" t="s">
        <v>76</v>
      </c>
    </row>
    <row r="37" spans="2:4" hidden="1" x14ac:dyDescent="0.25">
      <c r="B37" s="12" t="s">
        <v>1139</v>
      </c>
      <c r="C37" s="329" t="s">
        <v>77</v>
      </c>
      <c r="D37" s="16" t="s">
        <v>78</v>
      </c>
    </row>
    <row r="38" spans="2:4" hidden="1" x14ac:dyDescent="0.25">
      <c r="B38" s="26" t="s">
        <v>1140</v>
      </c>
      <c r="C38" s="328" t="s">
        <v>79</v>
      </c>
      <c r="D38" s="36" t="s">
        <v>76</v>
      </c>
    </row>
    <row r="39" spans="2:4" hidden="1" x14ac:dyDescent="0.25">
      <c r="B39" s="12" t="s">
        <v>717</v>
      </c>
      <c r="C39" s="329" t="s">
        <v>80</v>
      </c>
      <c r="D39" s="16" t="s">
        <v>81</v>
      </c>
    </row>
    <row r="40" spans="2:4" hidden="1" x14ac:dyDescent="0.25">
      <c r="B40" s="26" t="s">
        <v>1141</v>
      </c>
      <c r="C40" s="328" t="s">
        <v>82</v>
      </c>
      <c r="D40" s="36" t="s">
        <v>83</v>
      </c>
    </row>
    <row r="41" spans="2:4" hidden="1" x14ac:dyDescent="0.25">
      <c r="B41" s="12" t="s">
        <v>1142</v>
      </c>
      <c r="C41" s="329" t="s">
        <v>84</v>
      </c>
      <c r="D41" s="16" t="s">
        <v>85</v>
      </c>
    </row>
    <row r="42" spans="2:4" hidden="1" x14ac:dyDescent="0.25">
      <c r="B42" s="26" t="s">
        <v>1143</v>
      </c>
      <c r="C42" s="328" t="s">
        <v>86</v>
      </c>
      <c r="D42" s="36" t="s">
        <v>87</v>
      </c>
    </row>
    <row r="43" spans="2:4" hidden="1" x14ac:dyDescent="0.25">
      <c r="B43" s="12" t="s">
        <v>1144</v>
      </c>
      <c r="C43" s="329" t="s">
        <v>88</v>
      </c>
      <c r="D43" s="16" t="s">
        <v>89</v>
      </c>
    </row>
    <row r="44" spans="2:4" hidden="1" x14ac:dyDescent="0.25">
      <c r="B44" s="39" t="s">
        <v>1145</v>
      </c>
      <c r="C44" s="330" t="s">
        <v>90</v>
      </c>
      <c r="D44" s="40" t="s">
        <v>91</v>
      </c>
    </row>
    <row r="45" spans="2:4" ht="30" hidden="1" x14ac:dyDescent="0.25">
      <c r="B45" s="27" t="s">
        <v>92</v>
      </c>
      <c r="C45" s="313" t="s">
        <v>49</v>
      </c>
      <c r="D45" s="38" t="s">
        <v>9</v>
      </c>
    </row>
    <row r="46" spans="2:4" hidden="1" x14ac:dyDescent="0.25">
      <c r="B46" s="26" t="s">
        <v>1146</v>
      </c>
      <c r="C46" s="328" t="s">
        <v>93</v>
      </c>
      <c r="D46" s="36" t="s">
        <v>94</v>
      </c>
    </row>
    <row r="47" spans="2:4" hidden="1" x14ac:dyDescent="0.25">
      <c r="B47" s="17" t="s">
        <v>1147</v>
      </c>
      <c r="C47" s="331" t="s">
        <v>95</v>
      </c>
      <c r="D47" s="19" t="s">
        <v>96</v>
      </c>
    </row>
    <row r="48" spans="2:4" ht="30" hidden="1" x14ac:dyDescent="0.25">
      <c r="B48" s="27" t="s">
        <v>97</v>
      </c>
      <c r="C48" s="313" t="s">
        <v>49</v>
      </c>
      <c r="D48" s="38" t="s">
        <v>9</v>
      </c>
    </row>
    <row r="49" spans="2:4" hidden="1" x14ac:dyDescent="0.25">
      <c r="B49" s="26" t="s">
        <v>1148</v>
      </c>
      <c r="C49" s="328" t="s">
        <v>98</v>
      </c>
      <c r="D49" s="36" t="s">
        <v>99</v>
      </c>
    </row>
    <row r="50" spans="2:4" x14ac:dyDescent="0.25">
      <c r="C50" s="331"/>
    </row>
    <row r="51" spans="2:4" ht="32.1" customHeight="1" x14ac:dyDescent="0.25">
      <c r="B51" s="466" t="s">
        <v>100</v>
      </c>
      <c r="C51" s="833" t="s">
        <v>101</v>
      </c>
      <c r="D51" s="462"/>
    </row>
    <row r="52" spans="2:4" x14ac:dyDescent="0.25">
      <c r="B52" s="46" t="str">
        <f>+'1_Inputs'!B4</f>
        <v>1.1 - Basis of Preparation</v>
      </c>
      <c r="C52" s="834" t="s">
        <v>102</v>
      </c>
      <c r="D52" s="47" t="s">
        <v>103</v>
      </c>
    </row>
    <row r="53" spans="2:4" x14ac:dyDescent="0.25">
      <c r="B53" s="12" t="str">
        <f>+'1_Inputs'!B7</f>
        <v>1.2 - Regulatory Inputs</v>
      </c>
      <c r="C53" s="835" t="s">
        <v>104</v>
      </c>
      <c r="D53" s="16" t="s">
        <v>103</v>
      </c>
    </row>
    <row r="54" spans="2:4" x14ac:dyDescent="0.25">
      <c r="B54" s="39" t="str">
        <f>+'1_Inputs'!B17</f>
        <v>1.3 - Inflation inputs</v>
      </c>
      <c r="C54" s="836" t="s">
        <v>105</v>
      </c>
      <c r="D54" s="40" t="s">
        <v>103</v>
      </c>
    </row>
    <row r="55" spans="2:4" ht="32.1" customHeight="1" x14ac:dyDescent="0.25">
      <c r="B55" s="467" t="s">
        <v>106</v>
      </c>
      <c r="C55" s="833" t="str">
        <f>+C51</f>
        <v>Link to Section</v>
      </c>
      <c r="D55" s="314" t="s">
        <v>9</v>
      </c>
    </row>
    <row r="56" spans="2:4" x14ac:dyDescent="0.25">
      <c r="B56" s="46" t="str">
        <f>+'2_Revenue'!B4</f>
        <v>2.1 - Revenue for electricity transmission services used for setting charges under the TPM</v>
      </c>
      <c r="C56" s="837" t="s">
        <v>107</v>
      </c>
      <c r="D56" s="47" t="s">
        <v>108</v>
      </c>
    </row>
    <row r="57" spans="2:4" x14ac:dyDescent="0.25">
      <c r="B57" s="17" t="str">
        <f>+'2_Revenue'!B22</f>
        <v>2.2 - Actual regulated electricity transmission revenue</v>
      </c>
      <c r="C57" s="838" t="s">
        <v>109</v>
      </c>
      <c r="D57" s="19" t="s">
        <v>110</v>
      </c>
    </row>
    <row r="58" spans="2:4" ht="32.1" customHeight="1" x14ac:dyDescent="0.25">
      <c r="B58" s="467" t="s">
        <v>111</v>
      </c>
      <c r="C58" s="833" t="str">
        <f>+C55</f>
        <v>Link to Section</v>
      </c>
      <c r="D58" s="314" t="s">
        <v>9</v>
      </c>
    </row>
    <row r="59" spans="2:4" x14ac:dyDescent="0.25">
      <c r="B59" s="26" t="str">
        <f>+'3_RevenueBuildingBlocks'!B4</f>
        <v>3.1 - Full building blocks calculation of the forecast MAR for the disclosure year</v>
      </c>
      <c r="C59" s="834" t="s">
        <v>112</v>
      </c>
      <c r="D59" s="36" t="s">
        <v>113</v>
      </c>
    </row>
    <row r="60" spans="2:4" x14ac:dyDescent="0.25">
      <c r="B60" s="12" t="str">
        <f>+'3_RevenueBuildingBlocks'!B38</f>
        <v>3.2 - The ex-post economic gain or loss for the disclosure year</v>
      </c>
      <c r="C60" s="835" t="s">
        <v>114</v>
      </c>
      <c r="D60" s="16" t="s">
        <v>115</v>
      </c>
    </row>
    <row r="61" spans="2:4" x14ac:dyDescent="0.25">
      <c r="B61" s="12" t="str">
        <f>'3_RevenueBuildingBlocks'!B84</f>
        <v>3.3 - Transpower's voluntary revenue reductions applied to the Ex Post economic gain or loss</v>
      </c>
      <c r="C61" s="835" t="s">
        <v>116</v>
      </c>
      <c r="D61" s="16" t="s">
        <v>115</v>
      </c>
    </row>
    <row r="62" spans="2:4" ht="32.1" customHeight="1" x14ac:dyDescent="0.25">
      <c r="B62" s="468" t="s">
        <v>117</v>
      </c>
      <c r="C62" s="839" t="str">
        <f>+C55</f>
        <v>Link to Section</v>
      </c>
      <c r="D62" s="316" t="s">
        <v>9</v>
      </c>
    </row>
    <row r="63" spans="2:4" x14ac:dyDescent="0.25">
      <c r="B63" s="46" t="str">
        <f>'4_RAB'!B4</f>
        <v>4.1 - RAB roll forward</v>
      </c>
      <c r="C63" s="837" t="s">
        <v>118</v>
      </c>
      <c r="D63" s="47" t="s">
        <v>119</v>
      </c>
    </row>
    <row r="64" spans="2:4" x14ac:dyDescent="0.25">
      <c r="B64" s="12" t="str">
        <f>'4_RAB'!B45</f>
        <v>4.2 - Depreciation</v>
      </c>
      <c r="C64" s="835" t="s">
        <v>120</v>
      </c>
      <c r="D64" s="16" t="s">
        <v>121</v>
      </c>
    </row>
    <row r="65" spans="2:4" x14ac:dyDescent="0.25">
      <c r="B65" s="39" t="str">
        <f>'4_RAB'!B69</f>
        <v>4.3 - Revaluation</v>
      </c>
      <c r="C65" s="836" t="s">
        <v>122</v>
      </c>
      <c r="D65" s="40" t="s">
        <v>123</v>
      </c>
    </row>
    <row r="66" spans="2:4" ht="32.1" customHeight="1" x14ac:dyDescent="0.25">
      <c r="B66" s="469" t="s">
        <v>124</v>
      </c>
      <c r="C66" s="840" t="str">
        <f>+C55</f>
        <v>Link to Section</v>
      </c>
      <c r="D66" s="319" t="s">
        <v>9</v>
      </c>
    </row>
    <row r="67" spans="2:4" ht="15" customHeight="1" x14ac:dyDescent="0.25">
      <c r="B67" s="472" t="str">
        <f>'5_BaseCapexAllowance'!B4</f>
        <v>5.1 - Updated summaries of the approved base capex as set out in Schedules C1 to C4</v>
      </c>
      <c r="C67" s="841" t="s">
        <v>125</v>
      </c>
      <c r="D67" s="473" t="s">
        <v>126</v>
      </c>
    </row>
    <row r="68" spans="2:4" ht="32.1" customHeight="1" x14ac:dyDescent="0.25">
      <c r="B68" s="467" t="s">
        <v>127</v>
      </c>
      <c r="C68" s="833" t="str">
        <f>+C66</f>
        <v>Link to Section</v>
      </c>
      <c r="D68" s="314"/>
    </row>
    <row r="69" spans="2:4" ht="15" customHeight="1" x14ac:dyDescent="0.25">
      <c r="B69" s="26" t="str">
        <f>+'6_BaseCapexDisparitiesAdj'!B4</f>
        <v>6.1 - Standard incentive rate base capex allowance - adjusted for actual CPI expenditure basis (excluding capitalised operating leases)</v>
      </c>
      <c r="C69" s="842" t="s">
        <v>128</v>
      </c>
      <c r="D69" s="36" t="s">
        <v>129</v>
      </c>
    </row>
    <row r="70" spans="2:4" ht="15" customHeight="1" x14ac:dyDescent="0.25">
      <c r="B70" s="12" t="str">
        <f>+'6_BaseCapexDisparitiesAdj'!B15</f>
        <v xml:space="preserve">6.2 - Standard incentive rate base capex allowance paid for in foreign currency - expenditure basis (excluding capitalised operating leases) </v>
      </c>
      <c r="C70" s="835" t="s">
        <v>130</v>
      </c>
      <c r="D70" s="16" t="s">
        <v>131</v>
      </c>
    </row>
    <row r="71" spans="2:4" ht="15" customHeight="1" x14ac:dyDescent="0.25">
      <c r="B71" s="26" t="str">
        <f>+'6_BaseCapexDisparitiesAdj'!B66</f>
        <v>6.3 - Details of any changes to Transpower's policy of hedging capital expenditure during the disclosure year</v>
      </c>
      <c r="C71" s="842" t="s">
        <v>132</v>
      </c>
      <c r="D71" s="36" t="s">
        <v>133</v>
      </c>
    </row>
    <row r="72" spans="2:4" ht="32.1" customHeight="1" x14ac:dyDescent="0.25">
      <c r="B72" s="466" t="s">
        <v>134</v>
      </c>
      <c r="C72" s="843" t="str">
        <f>+C68</f>
        <v>Link to Section</v>
      </c>
      <c r="D72" s="38"/>
    </row>
    <row r="73" spans="2:4" ht="15" customHeight="1" x14ac:dyDescent="0.25">
      <c r="B73" s="12" t="str">
        <f>+'7_Base&amp;MajorCapexAdj'!B4</f>
        <v>7.1 - Calculation of base capex adjustment</v>
      </c>
      <c r="C73" s="835" t="s">
        <v>135</v>
      </c>
      <c r="D73" s="16" t="s">
        <v>133</v>
      </c>
    </row>
    <row r="74" spans="2:4" ht="15" customHeight="1" x14ac:dyDescent="0.25">
      <c r="B74" s="39" t="str">
        <f>+'7_Base&amp;MajorCapexAdj'!B41</f>
        <v>7.2 - Calculation of major capex expenditure and output adjustment</v>
      </c>
      <c r="C74" s="836" t="s">
        <v>136</v>
      </c>
      <c r="D74" s="40" t="s">
        <v>137</v>
      </c>
    </row>
    <row r="75" spans="2:4" ht="32.1" customHeight="1" x14ac:dyDescent="0.25">
      <c r="B75" s="467" t="s">
        <v>138</v>
      </c>
      <c r="C75" s="833" t="str">
        <f>+C55</f>
        <v>Link to Section</v>
      </c>
      <c r="D75" s="314" t="s">
        <v>9</v>
      </c>
    </row>
    <row r="76" spans="2:4" ht="15" customHeight="1" x14ac:dyDescent="0.25">
      <c r="B76" s="37" t="str">
        <f>+'8_OpexAllowance'!B4</f>
        <v>8.1 - opex allowances per the IPP</v>
      </c>
      <c r="C76" s="844" t="s">
        <v>139</v>
      </c>
      <c r="D76" s="14" t="s">
        <v>140</v>
      </c>
    </row>
    <row r="77" spans="2:4" ht="32.1" customHeight="1" x14ac:dyDescent="0.25">
      <c r="B77" s="466" t="s">
        <v>1052</v>
      </c>
      <c r="C77" s="843" t="str">
        <f>+C75</f>
        <v>Link to Section</v>
      </c>
      <c r="D77" s="38"/>
    </row>
    <row r="78" spans="2:4" ht="15" customHeight="1" x14ac:dyDescent="0.25">
      <c r="B78" s="26" t="str">
        <f>+'9_Opex'!B4</f>
        <v xml:space="preserve">9.1 - Opex allowance and forecast opex </v>
      </c>
      <c r="C78" s="842" t="s">
        <v>141</v>
      </c>
      <c r="D78" s="36" t="s">
        <v>142</v>
      </c>
    </row>
    <row r="79" spans="2:4" ht="15" customHeight="1" x14ac:dyDescent="0.25">
      <c r="B79" s="17" t="str">
        <f>+'9_Opex'!B23</f>
        <v>9.2 - Differences between the forecast opex and actual opex</v>
      </c>
      <c r="C79" s="838" t="s">
        <v>143</v>
      </c>
      <c r="D79" s="19" t="s">
        <v>142</v>
      </c>
    </row>
    <row r="80" spans="2:4" ht="32.1" customHeight="1" x14ac:dyDescent="0.25">
      <c r="B80" s="467" t="s">
        <v>144</v>
      </c>
      <c r="C80" s="833" t="str">
        <f>+C55</f>
        <v>Link to Section</v>
      </c>
      <c r="D80" s="314" t="s">
        <v>9</v>
      </c>
    </row>
    <row r="81" spans="2:4" x14ac:dyDescent="0.25">
      <c r="B81" s="12" t="str">
        <f>+'10_EVAccount'!B4</f>
        <v>10.1 - An updated summary of the EV account as set out in Schedule B</v>
      </c>
      <c r="C81" s="835" t="s">
        <v>145</v>
      </c>
      <c r="D81" s="16" t="s">
        <v>146</v>
      </c>
    </row>
    <row r="82" spans="2:4" x14ac:dyDescent="0.25">
      <c r="B82" s="26" t="str">
        <f>+'10_EVAccount'!B19</f>
        <v>10.2 - EV account entries</v>
      </c>
      <c r="C82" s="842" t="s">
        <v>147</v>
      </c>
      <c r="D82" s="36" t="s">
        <v>148</v>
      </c>
    </row>
    <row r="83" spans="2:4" x14ac:dyDescent="0.25">
      <c r="B83" s="12" t="str">
        <f>+'10_EVAccount'!B40</f>
        <v>10.3 - Adjustment to the EV account from a normalisation event, where a normalisation event is excluded from a calculation made for a revenue-linked grid output measure</v>
      </c>
      <c r="C83" s="835" t="s">
        <v>149</v>
      </c>
      <c r="D83" s="16" t="s">
        <v>150</v>
      </c>
    </row>
    <row r="84" spans="2:4" ht="32.1" customHeight="1" x14ac:dyDescent="0.25">
      <c r="B84" s="466" t="s">
        <v>151</v>
      </c>
      <c r="C84" s="843" t="str">
        <f>+C55</f>
        <v>Link to Section</v>
      </c>
      <c r="D84" s="38" t="s">
        <v>9</v>
      </c>
    </row>
    <row r="85" spans="2:4" x14ac:dyDescent="0.25">
      <c r="B85" s="26" t="str">
        <f>+'11_Pass-Through&amp;Recoverables'!B4</f>
        <v>11.1 - Summary of actual pass-through costs and recoverable costs</v>
      </c>
      <c r="C85" s="842" t="s">
        <v>152</v>
      </c>
      <c r="D85" s="36" t="s">
        <v>153</v>
      </c>
    </row>
    <row r="86" spans="2:4" x14ac:dyDescent="0.25">
      <c r="B86" s="12" t="str">
        <f>+'11_Pass-Through&amp;Recoverables'!B27</f>
        <v>11.2 - A description and explanation of any opex incurred as part of a major capex project</v>
      </c>
      <c r="C86" s="835" t="s">
        <v>154</v>
      </c>
      <c r="D86" s="16" t="s">
        <v>155</v>
      </c>
    </row>
    <row r="87" spans="2:4" ht="15" customHeight="1" x14ac:dyDescent="0.25">
      <c r="B87" s="39" t="str">
        <f>+'11_Pass-Through&amp;Recoverables'!B32</f>
        <v>11.3 - A summary of any prudent net additional opex incurred in responding to a catastrophic event, as determined by the Commission</v>
      </c>
      <c r="C87" s="836" t="s">
        <v>156</v>
      </c>
      <c r="D87" s="40" t="s">
        <v>157</v>
      </c>
    </row>
    <row r="88" spans="2:4" ht="32.1" customHeight="1" x14ac:dyDescent="0.25">
      <c r="B88" s="466" t="s">
        <v>158</v>
      </c>
      <c r="C88" s="843" t="str">
        <f>+C55</f>
        <v>Link to Section</v>
      </c>
      <c r="D88" s="38" t="s">
        <v>9</v>
      </c>
    </row>
    <row r="89" spans="2:4" x14ac:dyDescent="0.25">
      <c r="B89" s="12" t="str">
        <f>+'12_Tax'!B4</f>
        <v>12.1 - Regulatory Tax allowance</v>
      </c>
      <c r="C89" s="835" t="s">
        <v>159</v>
      </c>
      <c r="D89" s="16" t="s">
        <v>160</v>
      </c>
    </row>
    <row r="90" spans="2:4" ht="32.1" customHeight="1" x14ac:dyDescent="0.25">
      <c r="B90" s="468" t="s">
        <v>161</v>
      </c>
      <c r="C90" s="839" t="str">
        <f>+C55</f>
        <v>Link to Section</v>
      </c>
      <c r="D90" s="316" t="s">
        <v>9</v>
      </c>
    </row>
    <row r="91" spans="2:4" x14ac:dyDescent="0.25">
      <c r="B91" s="46" t="str">
        <f>+'13_RevenueLinkedQualityMeasures'!B4</f>
        <v>13.1 - Grid output adjustment</v>
      </c>
      <c r="C91" s="837" t="s">
        <v>162</v>
      </c>
      <c r="D91" s="47" t="s">
        <v>163</v>
      </c>
    </row>
    <row r="92" spans="2:4" ht="32.1" customHeight="1" x14ac:dyDescent="0.25">
      <c r="B92" s="466" t="s">
        <v>164</v>
      </c>
      <c r="C92" s="843" t="str">
        <f>+C55</f>
        <v>Link to Section</v>
      </c>
      <c r="D92" s="38" t="s">
        <v>9</v>
      </c>
    </row>
    <row r="93" spans="2:4" x14ac:dyDescent="0.25">
      <c r="B93" s="26" t="str">
        <f>+'14_QualityStandards'!B4</f>
        <v>14.1 - GP1: Number of interruptions (per annum)</v>
      </c>
      <c r="C93" s="842" t="s">
        <v>165</v>
      </c>
      <c r="D93" s="36" t="s">
        <v>166</v>
      </c>
    </row>
    <row r="94" spans="2:4" x14ac:dyDescent="0.25">
      <c r="B94" s="12" t="str">
        <f>+'14_QualityStandards'!B39</f>
        <v>14.2 - GP2: Average duration of interruption (min)</v>
      </c>
      <c r="C94" s="835" t="s">
        <v>167</v>
      </c>
      <c r="D94" s="16" t="s">
        <v>168</v>
      </c>
    </row>
    <row r="95" spans="2:4" x14ac:dyDescent="0.25">
      <c r="B95" s="26" t="str">
        <f>+'14_QualityStandards'!B74</f>
        <v>14.3 - AP1: HVDC availability (%)</v>
      </c>
      <c r="C95" s="842" t="s">
        <v>169</v>
      </c>
      <c r="D95" s="36" t="s">
        <v>170</v>
      </c>
    </row>
    <row r="96" spans="2:4" x14ac:dyDescent="0.25">
      <c r="B96" s="12" t="str">
        <f>+'14_QualityStandards'!B89</f>
        <v>14.4 - AP2: HVAC availability (%)</v>
      </c>
      <c r="C96" s="835" t="s">
        <v>171</v>
      </c>
      <c r="D96" s="16" t="s">
        <v>172</v>
      </c>
    </row>
    <row r="97" spans="2:4" x14ac:dyDescent="0.25">
      <c r="B97" s="39" t="str">
        <f>+'14_QualityStandards'!B104</f>
        <v>14.5 - AH: Asset Health Measure</v>
      </c>
      <c r="C97" s="836" t="s">
        <v>173</v>
      </c>
      <c r="D97" s="40" t="s">
        <v>174</v>
      </c>
    </row>
    <row r="98" spans="2:4" x14ac:dyDescent="0.25">
      <c r="C98" s="835"/>
    </row>
    <row r="99" spans="2:4" ht="22.5" customHeight="1" x14ac:dyDescent="0.25">
      <c r="B99" s="317" t="s">
        <v>175</v>
      </c>
      <c r="C99" s="845" t="s">
        <v>41</v>
      </c>
      <c r="D99" s="318" t="s">
        <v>9</v>
      </c>
    </row>
    <row r="100" spans="2:4" x14ac:dyDescent="0.25">
      <c r="B100" s="33"/>
      <c r="C100" s="840"/>
      <c r="D100" s="33"/>
    </row>
    <row r="101" spans="2:4" ht="32.1" customHeight="1" x14ac:dyDescent="0.25">
      <c r="B101" s="466" t="s">
        <v>176</v>
      </c>
      <c r="C101" s="843" t="str">
        <f>+C92</f>
        <v>Link to Section</v>
      </c>
      <c r="D101" s="38" t="s">
        <v>9</v>
      </c>
    </row>
    <row r="102" spans="2:4" x14ac:dyDescent="0.25">
      <c r="B102" s="26" t="str">
        <f>+'15_Events-AP&amp;AH'!B4</f>
        <v>15.1 - Normalisation Events</v>
      </c>
      <c r="C102" s="842" t="s">
        <v>177</v>
      </c>
      <c r="D102" s="36" t="s">
        <v>178</v>
      </c>
    </row>
    <row r="103" spans="2:4" x14ac:dyDescent="0.25">
      <c r="B103" s="12" t="str">
        <f>+'15_Events-AP&amp;AH'!B11</f>
        <v>15.2 - Summary of all reports publicly disclosed under clause 28.1 for the disclosure year</v>
      </c>
      <c r="C103" s="846" t="s">
        <v>179</v>
      </c>
      <c r="D103" s="16" t="s">
        <v>180</v>
      </c>
    </row>
    <row r="104" spans="2:4" x14ac:dyDescent="0.25">
      <c r="B104" s="26" t="str">
        <f>+'15_Events-AP&amp;AH'!B17</f>
        <v>15.3 - Summary of all reports publicly disclosed under clause 28.2 for the disclosure year</v>
      </c>
      <c r="C104" s="834" t="s">
        <v>181</v>
      </c>
      <c r="D104" s="36" t="s">
        <v>182</v>
      </c>
    </row>
    <row r="105" spans="2:4" ht="32.1" customHeight="1" x14ac:dyDescent="0.25">
      <c r="B105" s="466" t="s">
        <v>183</v>
      </c>
      <c r="C105" s="843" t="str">
        <f>+C92</f>
        <v>Link to Section</v>
      </c>
      <c r="D105" s="38" t="s">
        <v>9</v>
      </c>
    </row>
    <row r="106" spans="2:4" x14ac:dyDescent="0.25">
      <c r="B106" s="12" t="str">
        <f>+'16_CustomerMeasures'!B4</f>
        <v>16.1 - CS1: Customer satisfaction measure</v>
      </c>
      <c r="C106" s="846" t="s">
        <v>184</v>
      </c>
      <c r="D106" s="16" t="s">
        <v>185</v>
      </c>
    </row>
    <row r="107" spans="2:4" x14ac:dyDescent="0.25">
      <c r="B107" s="26" t="str">
        <f>+'16_CustomerMeasures'!B14</f>
        <v>16.2 - CS2: Customer service measure</v>
      </c>
      <c r="C107" s="834" t="s">
        <v>186</v>
      </c>
      <c r="D107" s="36" t="s">
        <v>187</v>
      </c>
    </row>
    <row r="108" spans="2:4" ht="32.1" customHeight="1" x14ac:dyDescent="0.25">
      <c r="B108" s="468" t="s">
        <v>188</v>
      </c>
      <c r="C108" s="839" t="str">
        <f>+C92</f>
        <v>Link to Section</v>
      </c>
      <c r="D108" s="316" t="s">
        <v>9</v>
      </c>
    </row>
    <row r="109" spans="2:4" x14ac:dyDescent="0.25">
      <c r="B109" s="37" t="str">
        <f>+'17_QualityStandards-AddInfo'!B5</f>
        <v>17.1 - AP1.2: Asset performance measure</v>
      </c>
      <c r="C109" s="844" t="s">
        <v>189</v>
      </c>
      <c r="D109" s="14" t="s">
        <v>187</v>
      </c>
    </row>
    <row r="110" spans="2:4" x14ac:dyDescent="0.25">
      <c r="B110" s="26" t="str">
        <f>+'17_QualityStandards-AddInfo'!B11</f>
        <v>17.2 - AP3: Asset performance measure</v>
      </c>
      <c r="C110" s="842" t="s">
        <v>190</v>
      </c>
      <c r="D110" s="36" t="s">
        <v>191</v>
      </c>
    </row>
    <row r="111" spans="2:4" x14ac:dyDescent="0.25">
      <c r="B111" s="12" t="str">
        <f>+'17_QualityStandards-AddInfo'!B29</f>
        <v>17.3 - AP4: Asset performance measure</v>
      </c>
      <c r="C111" s="835" t="s">
        <v>192</v>
      </c>
      <c r="D111" s="16" t="s">
        <v>193</v>
      </c>
    </row>
    <row r="112" spans="2:4" x14ac:dyDescent="0.25">
      <c r="B112" s="26" t="str">
        <f>+'17_QualityStandards-AddInfo'!B35</f>
        <v>17.4 - GP4: Grid performance measure</v>
      </c>
      <c r="C112" s="842" t="s">
        <v>194</v>
      </c>
      <c r="D112" s="36" t="s">
        <v>195</v>
      </c>
    </row>
    <row r="113" spans="2:4" x14ac:dyDescent="0.25">
      <c r="B113" s="12" t="str">
        <f>+'17_QualityStandards-AddInfo'!B44</f>
        <v>17.5 - Asset performance measure AP1 if outside of the collar value</v>
      </c>
      <c r="C113" s="835" t="s">
        <v>196</v>
      </c>
      <c r="D113" s="16" t="s">
        <v>197</v>
      </c>
    </row>
    <row r="114" spans="2:4" x14ac:dyDescent="0.25">
      <c r="B114" s="26" t="str">
        <f>+'17_QualityStandards-AddInfo'!B51</f>
        <v>17.6 - Asset performance measure AP2 if outside of the collar value</v>
      </c>
      <c r="C114" s="842" t="s">
        <v>198</v>
      </c>
      <c r="D114" s="36" t="s">
        <v>199</v>
      </c>
    </row>
    <row r="115" spans="2:4" x14ac:dyDescent="0.25">
      <c r="B115" s="17" t="str">
        <f>+'17_QualityStandards-AddInfo'!B60</f>
        <v>17.7 - If not complied with the asset health measure AH quality standard for an asset health measure asset class</v>
      </c>
      <c r="C115" s="838" t="s">
        <v>200</v>
      </c>
      <c r="D115" s="19" t="s">
        <v>201</v>
      </c>
    </row>
  </sheetData>
  <mergeCells count="4">
    <mergeCell ref="B6:D6"/>
    <mergeCell ref="B11:D11"/>
    <mergeCell ref="B9:D9"/>
    <mergeCell ref="B7:D7"/>
  </mergeCells>
  <hyperlinks>
    <hyperlink ref="C15" location="'Part 1 Directors Certificate'!A1" display="Tab 1" xr:uid="{D8807796-C07A-4F1E-A210-07403136E2E9}"/>
    <hyperlink ref="C17" location="'Assurance Report'!A1" display="Tab 3" xr:uid="{34986070-E91C-42EB-A4E1-F8C5355AD901}"/>
    <hyperlink ref="C19" location="'4'!B2" display="Tab 4" xr:uid="{00A27193-8709-4D8C-B235-68AF2D9A6985}"/>
    <hyperlink ref="C20" location="'5'!B51" display="Tab 5" xr:uid="{DDCCD04D-A423-45E7-9490-E83501D16CE5}"/>
    <hyperlink ref="C21" location="'6'!B2" display="Tab 6" xr:uid="{52F71FE0-6EB4-477F-A3C8-8CA9ACA3BBBF}"/>
    <hyperlink ref="C22" location="'6'!B3" display="Tab 6" xr:uid="{562E2266-7F7E-4A99-BB9E-D03FFC564CB4}"/>
    <hyperlink ref="C23" location="'4'!B52" display="Tab 4" xr:uid="{3911C6B6-63B7-41CA-9041-4F75D43117A1}"/>
    <hyperlink ref="C24" location="'7'!B2" display="Tab 7" xr:uid="{520008BF-F9F5-4F42-8392-4F1D2BE468F8}"/>
    <hyperlink ref="C26" location="'9'!B2" display="Tab 9" xr:uid="{74944A67-058C-4EFF-8CA4-519DFEE63E8F}"/>
    <hyperlink ref="C27" location="'9'!B25" display="Tab 9" xr:uid="{AB794D06-BE9A-400F-BC68-7E4AE84E65F6}"/>
    <hyperlink ref="C28" location="'9'!B29" display="Tab 9" xr:uid="{A9B78B9F-18B6-41FF-B74C-CE946E1244F0}"/>
    <hyperlink ref="C29" location="'10'!B2" display="Tab 10" xr:uid="{6F2A4696-0D9F-4295-B302-D5713D17F2A9}"/>
    <hyperlink ref="C30" location="'11'!B2" display="Tab 11" xr:uid="{3BF463C0-714A-49E8-883C-BAE8EB11C15F}"/>
    <hyperlink ref="C31" location="'11'!B46" display="Tab 11" xr:uid="{F0100B70-9C5C-4D8C-B990-C902DF51E359}"/>
    <hyperlink ref="C32" location="'7'!B17" display="Tab 7" xr:uid="{0516216E-73AF-4BC2-9B7C-E564D2258347}"/>
    <hyperlink ref="C25" location="'8'!B2" display="Tab 8" xr:uid="{915AF002-CE21-4DAB-A89F-B11CA976529C}"/>
    <hyperlink ref="C34" location="'5'!B2" display="Tab 5" xr:uid="{05CCC6E6-010D-494D-B168-EF08A532E414}"/>
    <hyperlink ref="C35" location="'12'!B2" display="Tab 12" xr:uid="{57DB42B9-2090-4C7C-9463-C4C908C115D1}"/>
    <hyperlink ref="C36" location="'13'!B2" display="Tab 13" xr:uid="{04950DDC-C795-49AE-94E8-3162CCD971B6}"/>
    <hyperlink ref="C37" location="'14'!B2" display="Tab 14" xr:uid="{155121A4-A2AD-49AF-8ACA-745BBCDF3713}"/>
    <hyperlink ref="C38" location="'15'!B2" display="Tab 15" xr:uid="{B9D70066-9F86-49AA-A534-C6DEB570A969}"/>
    <hyperlink ref="C39" location="'16'!B2" display="Tab 16" xr:uid="{52985845-5D1D-40B7-8BE9-BE774ABCB0D9}"/>
    <hyperlink ref="C40" location="'17'!B2" display="Tab 17" xr:uid="{B061F9DA-865B-413D-A07D-C261A7F65CF1}"/>
    <hyperlink ref="C42" location="'19'!B2" display="Tab 19" xr:uid="{9392CE85-663C-4259-BA50-D7AB6D19E05C}"/>
    <hyperlink ref="C43" location="'20'!B2" display="Tab 20" xr:uid="{3530475C-94AC-4B73-9B6B-782EA480696A}"/>
    <hyperlink ref="C41" location="'18'!B2" display="Tab 18" xr:uid="{E65DA8A8-8A87-49EE-8AF5-0C4C902E0B56}"/>
    <hyperlink ref="C16" location="'2'!B2" display="Tab 2" xr:uid="{279487B9-1AC7-4188-A7FF-547D5B773FF9}"/>
    <hyperlink ref="C46" location="'22'!B2" display="Tab 22" xr:uid="{F2E38E68-91B3-41B7-92C4-97130EC59384}"/>
    <hyperlink ref="C47" location="'23'!B2" display="Tab 23" xr:uid="{4C15CE35-CEB1-4833-BC92-EC10F1CF1FAD}"/>
    <hyperlink ref="C44" location="'21'!B2" display="Tab 21" xr:uid="{B58F1DE0-02D7-4D17-8840-782D8F0234BE}"/>
    <hyperlink ref="C49" location="'2(a)'!B2" display="Tab 2(a)" xr:uid="{C63E1A16-56B8-4594-9317-406CF1C93069}"/>
    <hyperlink ref="B5" r:id="rId1" display="https://www.comcom.govt.nz/__data/assets/pdf_file/0022/363253/Transpower-Individual-Price-Quality-Path-Determination-2025.pdf" xr:uid="{E76DBCA7-5BB6-48CE-81F2-4896728A70FC}"/>
    <hyperlink ref="C52" location="'1_Inputs'!B4" display="Table 1.1" xr:uid="{8C668C44-7418-41C1-9974-55AAFD329AD4}"/>
    <hyperlink ref="C53" location="'1_Inputs'!B7" display="Tablie 1.2" xr:uid="{F701973B-E5B7-4F21-A2DC-5CBEAC9A3913}"/>
    <hyperlink ref="C54" location="'1_Inputs'!B17" display="Tablie 1.3" xr:uid="{AB4D5B1E-96AF-4EE3-866A-1DDDEF9CA5D8}"/>
    <hyperlink ref="C56" location="'2_Revenue'!B4" display="Table 2.1" xr:uid="{B1571A1C-0D7E-4523-A457-76C4A31D4BAB}"/>
    <hyperlink ref="C57" location="'2_Revenue'!B22" display="Table 2.2" xr:uid="{18A81570-E28F-47ED-BB93-1B2EB4C92097}"/>
    <hyperlink ref="C59" location="'3_RevenueBuildingBlocks'!B4" display="Table 3.1" xr:uid="{88CBD8E1-56C4-4691-BF7D-1AF6E3FD9282}"/>
    <hyperlink ref="C60" location="'3_RevenueBuildingBlocks'!B53" display="Table 3.2" xr:uid="{D8AF5684-2D6D-41DD-881F-BE3E3390F09D}"/>
    <hyperlink ref="C61" location="'3_RevenueBuildingBlocks'!B113" display="Table 3.4" xr:uid="{A64327B7-1F31-4F22-9E6E-DCBF23E3E1EF}"/>
    <hyperlink ref="C63" location="'4_RAB'!B4" display="Table 4.1" xr:uid="{EE76F40E-B07E-4873-8C82-D0FE6A92A2E4}"/>
    <hyperlink ref="C64" location="'4_RAB'!B44" display="Table 4.2" xr:uid="{9636B374-319C-4F34-86E3-8059DFB88575}"/>
    <hyperlink ref="C65" location="'4_RAB'!B65" display="Table 4.3" xr:uid="{2CE475C9-AB7B-4E9B-9BA0-C68931E2D026}"/>
    <hyperlink ref="C67" location="'5_BaseCapexAllowance'!B4" display="Section 5.1" xr:uid="{1A452D78-C124-48A5-89CC-5B5C7EA3B515}"/>
    <hyperlink ref="C69" location="'6_BaseCapexIncentives'!B4" display="Table 6.1" xr:uid="{DE270050-F797-45BC-95D2-A05CD675CBD5}"/>
    <hyperlink ref="C70" location="'6_BaseCapexIncentives'!B15" display="Table 6.2" xr:uid="{CC16E68F-A344-4318-9B64-76B2A3E95BA2}"/>
    <hyperlink ref="C71" location="'6_BaseCapexIncentives'!B61" display="Table 6.3" xr:uid="{06B80C0F-D36E-474F-A0BA-A2FCF9E3AA23}"/>
    <hyperlink ref="C73" location="'7_Base&amp;MajorCapexAdj'!B4" display="Table 7.1" xr:uid="{16195FA6-5D67-4849-BD19-8D4CA7AFE84A}"/>
    <hyperlink ref="C74" location="'7_Base&amp;MajorCapexAdj'!B41" display="Table 7.2" xr:uid="{AA2DA34C-A4C1-43C3-A355-5AF33AF18452}"/>
    <hyperlink ref="C76" location="'8_OpexAllowance'!B4" display="Table 8.1" xr:uid="{FB9F99FC-6A22-42CD-A1C8-45440C0DB962}"/>
    <hyperlink ref="C78" location="'9_Opex'!B4" display="Table 9.1" xr:uid="{665DF28C-F9F0-4D70-93D6-9CB8FEAD153E}"/>
    <hyperlink ref="C79" location="'9_Opex'!B24" display="Table 9.2" xr:uid="{85404940-FAE5-4798-B553-4175F35614FC}"/>
    <hyperlink ref="C81" location="'10_EVAccount'!B4" display="Table 10.1" xr:uid="{4D768FC5-533C-4CD6-B213-48774EE88E6A}"/>
    <hyperlink ref="C82" location="'10_EVAccount'!B19" display="Table 10.2" xr:uid="{E85D95A1-5EEE-4FA0-B560-07FF01F7AEC0}"/>
    <hyperlink ref="C83" location="'10_EVAccount'!B40" display="Table 10.3" xr:uid="{AF779B6E-0601-4E69-ABE8-19240E453459}"/>
    <hyperlink ref="C85" location="'11_Pass-Through&amp;Recoverables'!B4" display="Table 11.1" xr:uid="{2E36EF8F-B5CC-4AF1-9054-78DDC2A5B908}"/>
    <hyperlink ref="C86" location="'11_Pass-Through&amp;Recoverables'!B27" display="Table 11.2" xr:uid="{C488236B-6F03-494A-8BC3-A785A6AF7733}"/>
    <hyperlink ref="C87" location="'11_Pass-Through&amp;Recoverables'!B32" display="Table 11.3" xr:uid="{66CE9A71-3E02-40EB-9D09-ECA4926D0785}"/>
    <hyperlink ref="C89" location="'11_Pass-Through&amp;Recoverables'!B4" display="Table 12.1" xr:uid="{4B24E56F-32B0-43CE-B83D-E5EC4869111C}"/>
    <hyperlink ref="C93" location="'14_QualityStandards'!B4" display="Table 14.1" xr:uid="{BB732656-262B-41A3-9645-C233EF4074FC}"/>
    <hyperlink ref="C94" location="'14_QualityStandards'!B39" display="Table 14.2" xr:uid="{4F76F87A-4D4C-4933-8909-FC27DC6F7239}"/>
    <hyperlink ref="C95" location="'14_QualityStandards'!B74" display="Table 1.4.3" xr:uid="{9B593F3B-0096-4D34-BBDD-9B01E3AB0127}"/>
    <hyperlink ref="C96" location="'14_QualityStandards'!B89" display="Table 14.4" xr:uid="{9C227DEB-E35A-47F1-8684-673C31B5CCC9}"/>
    <hyperlink ref="C97" location="'14_QualityStandards'!B104" display="Table 14.5" xr:uid="{05B15953-6F21-442B-AC57-623F41C2DB72}"/>
    <hyperlink ref="C102" location="'15_Events-AP&amp;AH'!B4" display="Table 15.1" xr:uid="{E1416A41-064D-4C01-BB18-EC1B74994DF6}"/>
    <hyperlink ref="C103" location="'15_Events-AP&amp;AH'!B11" display="Table 15.2" xr:uid="{E5249F20-034C-4A68-AE5B-3C299599BA8A}"/>
    <hyperlink ref="C104" location="'15_Events-AP&amp;AH'!B17" display="Table 15.3" xr:uid="{7A508305-B736-498A-BB7F-F6CA6BDBEA58}"/>
    <hyperlink ref="C106" location="'16_CustomerMeasures'!B4" display="Table 16.1" xr:uid="{3E1AC241-8736-4064-A8F6-9F2C570CF050}"/>
    <hyperlink ref="C107" location="'16_CustomerMeasures'!B14" display="Table 16.2" xr:uid="{DA108C85-C173-4971-9AC1-3482F3C1AFBB}"/>
    <hyperlink ref="C109" location="'17_QualityStandards-AddInfo'!B5" display="Table 17.1" xr:uid="{6C78259C-38CE-45DF-9B44-7ADEABFDC768}"/>
    <hyperlink ref="C110" location="'17_QualityStandards-AddInfo'!B11" display="Table 17.2" xr:uid="{91593990-1BF0-45D1-B8D1-AA8EF41AF8FD}"/>
    <hyperlink ref="C111" location="'17_QualityStandards-AddInfo'!B26" display="Table 17.3" xr:uid="{F4307371-355A-4C99-B5E2-9412B834C60E}"/>
    <hyperlink ref="C112" location="'17_QualityStandards-AddInfo'!B32" display="Table 17.4" xr:uid="{A42ABEF9-5D04-4C58-9AB0-00652B147D24}"/>
    <hyperlink ref="C113" location="'17_QualityStandards-AddInfo'!B41" display="Table 17.5" xr:uid="{0C6C07D1-37BB-4CB3-AA00-804FFD19889B}"/>
    <hyperlink ref="C114" location="'17_QualityStandards-AddInfo'!B48" display="Table 17.6" xr:uid="{F4DF7F59-F2D1-44B3-9CFC-455DB96B8142}"/>
    <hyperlink ref="C115" location="'17_QualityStandards-AddInfo'!B57" display="Table 17.7" xr:uid="{26D7DD4B-7030-44B2-AF3A-051ADFC25396}"/>
  </hyperlinks>
  <pageMargins left="0.19685039370078741" right="0.31496062992125984" top="0.74803149606299213" bottom="0.74803149606299213" header="0.31496062992125984" footer="0.31496062992125984"/>
  <pageSetup paperSize="9" scale="40"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E8C4F-956C-4F18-9305-54ADB9A72C9B}">
  <sheetPr>
    <tabColor theme="3" tint="0.499984740745262"/>
    <pageSetUpPr fitToPage="1"/>
  </sheetPr>
  <dimension ref="B1:N34"/>
  <sheetViews>
    <sheetView view="pageBreakPreview" zoomScaleNormal="100" zoomScaleSheetLayoutView="100" workbookViewId="0">
      <selection activeCell="C11" sqref="C11"/>
    </sheetView>
  </sheetViews>
  <sheetFormatPr defaultColWidth="9.140625" defaultRowHeight="12.75" x14ac:dyDescent="0.2"/>
  <cols>
    <col min="1" max="1" width="9.140625" style="5"/>
    <col min="2" max="2" width="5.42578125" style="5" customWidth="1"/>
    <col min="3" max="3" width="21.28515625" style="5" customWidth="1"/>
    <col min="4" max="4" width="17.28515625" style="5" customWidth="1"/>
    <col min="5" max="5" width="37.42578125" style="5" customWidth="1"/>
    <col min="6" max="8" width="9.140625" style="5"/>
    <col min="9" max="9" width="9.140625" style="5" bestFit="1"/>
    <col min="10" max="12" width="9.85546875" style="5" bestFit="1" customWidth="1"/>
    <col min="13" max="13" width="12.42578125" style="5" customWidth="1"/>
    <col min="14" max="14" width="3.7109375" style="5" customWidth="1"/>
    <col min="15" max="16384" width="9.140625" style="5"/>
  </cols>
  <sheetData>
    <row r="1" spans="2:14" s="129" customFormat="1" ht="11.25" x14ac:dyDescent="0.2"/>
    <row r="2" spans="2:14" s="129" customFormat="1" ht="38.450000000000003" customHeight="1" x14ac:dyDescent="0.2">
      <c r="B2" s="1120" t="s">
        <v>202</v>
      </c>
      <c r="C2" s="1121"/>
      <c r="D2" s="1121"/>
      <c r="E2" s="1121"/>
      <c r="F2" s="1121"/>
      <c r="G2" s="1121"/>
      <c r="H2" s="1121"/>
      <c r="I2" s="1121"/>
      <c r="J2" s="1121"/>
      <c r="K2" s="222"/>
      <c r="L2" s="222"/>
      <c r="M2" s="222"/>
      <c r="N2" s="223"/>
    </row>
    <row r="3" spans="2:14" s="129" customFormat="1" ht="22.5" customHeight="1" x14ac:dyDescent="0.2">
      <c r="B3" s="224"/>
      <c r="C3" s="158"/>
      <c r="D3" s="158"/>
      <c r="E3" s="158"/>
      <c r="F3" s="158"/>
      <c r="G3" s="158"/>
      <c r="H3" s="158"/>
      <c r="I3" s="158"/>
      <c r="J3" s="158"/>
      <c r="K3" s="158"/>
      <c r="L3" s="159" t="s">
        <v>3</v>
      </c>
      <c r="M3" s="735">
        <f>+'Directors Certificate'!K3</f>
        <v>46203</v>
      </c>
      <c r="N3" s="225"/>
    </row>
    <row r="4" spans="2:14" s="129" customFormat="1" ht="21.75" customHeight="1" x14ac:dyDescent="0.3">
      <c r="B4" s="398" t="s">
        <v>203</v>
      </c>
      <c r="C4" s="399"/>
      <c r="D4" s="399"/>
      <c r="E4" s="399"/>
      <c r="F4" s="399"/>
      <c r="G4" s="399"/>
      <c r="H4" s="399"/>
      <c r="I4" s="399"/>
      <c r="J4" s="399"/>
      <c r="K4" s="399"/>
      <c r="L4" s="399"/>
      <c r="M4" s="399"/>
      <c r="N4" s="400"/>
    </row>
    <row r="5" spans="2:14" s="129" customFormat="1" ht="55.5" customHeight="1" x14ac:dyDescent="0.2">
      <c r="B5" s="1127" t="s">
        <v>204</v>
      </c>
      <c r="C5" s="1128"/>
      <c r="D5" s="1128"/>
      <c r="E5" s="1128"/>
      <c r="F5" s="1128"/>
      <c r="G5" s="1128"/>
      <c r="H5" s="1128"/>
      <c r="I5" s="1128"/>
      <c r="J5" s="1128"/>
      <c r="K5" s="1128"/>
      <c r="L5" s="1128"/>
      <c r="M5" s="1128"/>
      <c r="N5" s="1129"/>
    </row>
    <row r="6" spans="2:14" s="129" customFormat="1" x14ac:dyDescent="0.2">
      <c r="B6" s="401"/>
      <c r="C6" s="402"/>
      <c r="D6" s="402"/>
      <c r="E6" s="402"/>
      <c r="F6" s="402"/>
      <c r="G6" s="402"/>
      <c r="H6" s="402"/>
      <c r="I6" s="402"/>
      <c r="J6" s="402"/>
      <c r="K6" s="402"/>
      <c r="L6" s="402"/>
      <c r="M6" s="402"/>
      <c r="N6" s="403"/>
    </row>
    <row r="7" spans="2:14" s="129" customFormat="1" ht="26.25" customHeight="1" x14ac:dyDescent="0.3">
      <c r="B7" s="257" t="s">
        <v>205</v>
      </c>
      <c r="C7" s="258"/>
      <c r="D7" s="258"/>
      <c r="E7" s="258"/>
      <c r="F7" s="258"/>
      <c r="G7" s="258"/>
      <c r="H7" s="258"/>
      <c r="I7" s="258"/>
      <c r="J7" s="258"/>
      <c r="K7" s="258"/>
      <c r="L7" s="258"/>
      <c r="M7" s="258"/>
      <c r="N7" s="280"/>
    </row>
    <row r="8" spans="2:14" s="129" customFormat="1" ht="26.25" customHeight="1" x14ac:dyDescent="0.25">
      <c r="B8" s="111"/>
      <c r="C8" s="474"/>
      <c r="D8" s="1"/>
      <c r="E8" s="475"/>
      <c r="F8" s="476"/>
      <c r="G8" s="476"/>
      <c r="H8" s="476"/>
      <c r="I8" s="476"/>
      <c r="J8" s="476"/>
      <c r="K8" s="476"/>
      <c r="L8" s="476"/>
      <c r="M8" s="476"/>
      <c r="N8" s="104"/>
    </row>
    <row r="9" spans="2:14" s="129" customFormat="1" ht="15" x14ac:dyDescent="0.25">
      <c r="B9" s="376" t="s">
        <v>206</v>
      </c>
      <c r="C9" s="1"/>
      <c r="D9" s="271" t="s">
        <v>207</v>
      </c>
      <c r="E9" s="367" t="s">
        <v>208</v>
      </c>
      <c r="G9" s="476"/>
      <c r="H9" s="476"/>
      <c r="I9" s="476"/>
      <c r="J9" s="476"/>
      <c r="K9" s="476"/>
      <c r="L9" s="476"/>
      <c r="M9" s="476"/>
      <c r="N9" s="104"/>
    </row>
    <row r="10" spans="2:14" s="129" customFormat="1" ht="33" customHeight="1" x14ac:dyDescent="0.25">
      <c r="B10" s="111"/>
      <c r="C10" s="262" t="s">
        <v>209</v>
      </c>
      <c r="D10" s="369">
        <v>0.28000000000000003</v>
      </c>
      <c r="E10" s="370" t="s">
        <v>210</v>
      </c>
      <c r="G10" s="476"/>
      <c r="H10" s="476"/>
      <c r="I10" s="476"/>
      <c r="J10" s="476"/>
      <c r="K10" s="476"/>
      <c r="L10" s="476"/>
      <c r="M10" s="476"/>
      <c r="N10" s="104"/>
    </row>
    <row r="11" spans="2:14" s="129" customFormat="1" ht="29.25" customHeight="1" x14ac:dyDescent="0.25">
      <c r="B11" s="111"/>
      <c r="C11" s="368" t="s">
        <v>211</v>
      </c>
      <c r="D11" s="378">
        <v>7.0999999999999952E-2</v>
      </c>
      <c r="E11" s="1130" t="s">
        <v>212</v>
      </c>
      <c r="G11" s="540"/>
      <c r="H11" s="476"/>
      <c r="I11" s="476"/>
      <c r="J11" s="476"/>
      <c r="K11" s="476"/>
      <c r="L11" s="476"/>
      <c r="M11" s="476"/>
      <c r="N11" s="104"/>
    </row>
    <row r="12" spans="2:14" s="129" customFormat="1" ht="29.25" customHeight="1" x14ac:dyDescent="0.25">
      <c r="B12" s="111"/>
      <c r="C12" s="368" t="s">
        <v>213</v>
      </c>
      <c r="D12" s="378">
        <v>6.6799999999999998E-2</v>
      </c>
      <c r="E12" s="1131"/>
      <c r="F12" s="476"/>
      <c r="G12" s="476"/>
      <c r="H12" s="476"/>
      <c r="I12" s="476"/>
      <c r="J12" s="476"/>
      <c r="K12" s="476"/>
      <c r="L12" s="476"/>
      <c r="M12" s="476"/>
      <c r="N12" s="104"/>
    </row>
    <row r="13" spans="2:14" s="129" customFormat="1" ht="29.25" customHeight="1" x14ac:dyDescent="0.2">
      <c r="B13" s="105"/>
      <c r="C13" s="368" t="s">
        <v>214</v>
      </c>
      <c r="D13" s="378">
        <v>6.4399999999999999E-2</v>
      </c>
      <c r="E13" s="1132"/>
      <c r="F13" s="5"/>
      <c r="G13" s="5"/>
      <c r="H13" s="5"/>
      <c r="I13" s="5"/>
      <c r="J13" s="5"/>
      <c r="K13" s="5"/>
      <c r="L13" s="5"/>
      <c r="M13" s="5"/>
      <c r="N13" s="104"/>
    </row>
    <row r="14" spans="2:14" s="129" customFormat="1" ht="26.25" customHeight="1" x14ac:dyDescent="0.2">
      <c r="B14" s="105"/>
      <c r="C14" s="261" t="s">
        <v>215</v>
      </c>
      <c r="D14" s="391">
        <f>+(1-(1/((1+D12)^6)))</f>
        <v>0.32157482102195445</v>
      </c>
      <c r="E14" s="1133" t="s">
        <v>216</v>
      </c>
      <c r="F14" s="5"/>
      <c r="G14" s="5"/>
      <c r="H14" s="5"/>
      <c r="I14" s="5"/>
      <c r="J14" s="5"/>
      <c r="K14" s="5"/>
      <c r="L14" s="5"/>
      <c r="M14" s="5"/>
      <c r="N14" s="104"/>
    </row>
    <row r="15" spans="2:14" s="129" customFormat="1" ht="26.25" customHeight="1" x14ac:dyDescent="0.2">
      <c r="B15" s="105"/>
      <c r="C15" s="261" t="s">
        <v>217</v>
      </c>
      <c r="D15" s="391">
        <v>0.15</v>
      </c>
      <c r="E15" s="1134"/>
      <c r="F15" s="5"/>
      <c r="G15" s="5"/>
      <c r="H15" s="5"/>
      <c r="I15" s="5"/>
      <c r="J15" s="5"/>
      <c r="K15" s="5"/>
      <c r="L15" s="5"/>
      <c r="M15" s="5"/>
      <c r="N15" s="104"/>
    </row>
    <row r="16" spans="2:14" s="129" customFormat="1" ht="26.25" customHeight="1" x14ac:dyDescent="0.25">
      <c r="B16" s="131"/>
      <c r="C16" s="477"/>
      <c r="D16" s="478"/>
      <c r="E16" s="390"/>
      <c r="F16" s="103"/>
      <c r="G16" s="103"/>
      <c r="H16" s="103"/>
      <c r="I16" s="103"/>
      <c r="J16" s="103"/>
      <c r="K16" s="103"/>
      <c r="L16" s="103"/>
      <c r="M16" s="103"/>
      <c r="N16" s="221"/>
    </row>
    <row r="17" spans="2:14" s="129" customFormat="1" ht="18.75" x14ac:dyDescent="0.3">
      <c r="B17" s="257" t="s">
        <v>218</v>
      </c>
      <c r="C17" s="258"/>
      <c r="D17" s="258"/>
      <c r="E17" s="258"/>
      <c r="F17" s="258"/>
      <c r="G17" s="258"/>
      <c r="H17" s="258"/>
      <c r="I17" s="258"/>
      <c r="J17" s="258"/>
      <c r="K17" s="258"/>
      <c r="L17" s="258"/>
      <c r="M17" s="258"/>
      <c r="N17" s="280"/>
    </row>
    <row r="18" spans="2:14" x14ac:dyDescent="0.2">
      <c r="B18" s="105"/>
      <c r="N18" s="104"/>
    </row>
    <row r="19" spans="2:14" ht="15" x14ac:dyDescent="0.2">
      <c r="B19" s="105"/>
      <c r="C19" s="479" t="s">
        <v>219</v>
      </c>
      <c r="N19" s="104"/>
    </row>
    <row r="20" spans="2:14" ht="15" x14ac:dyDescent="0.2">
      <c r="B20" s="105"/>
      <c r="C20" s="479"/>
      <c r="F20" s="1122" t="s">
        <v>220</v>
      </c>
      <c r="G20" s="1123"/>
      <c r="H20" s="1123"/>
      <c r="I20" s="1123"/>
      <c r="J20" s="1123"/>
      <c r="K20" s="1123"/>
      <c r="L20" s="1123"/>
      <c r="M20" s="1124"/>
      <c r="N20" s="104"/>
    </row>
    <row r="21" spans="2:14" ht="15" x14ac:dyDescent="0.25">
      <c r="B21" s="376" t="s">
        <v>221</v>
      </c>
      <c r="C21" s="1"/>
      <c r="D21" s="270" t="s">
        <v>222</v>
      </c>
      <c r="E21" s="448" t="s">
        <v>223</v>
      </c>
      <c r="F21" s="43">
        <v>2023</v>
      </c>
      <c r="G21" s="66">
        <f>F21+1</f>
        <v>2024</v>
      </c>
      <c r="H21" s="66">
        <f t="shared" ref="H21:M21" si="0">G21+1</f>
        <v>2025</v>
      </c>
      <c r="I21" s="66">
        <f t="shared" si="0"/>
        <v>2026</v>
      </c>
      <c r="J21" s="66">
        <f t="shared" si="0"/>
        <v>2027</v>
      </c>
      <c r="K21" s="66">
        <f t="shared" si="0"/>
        <v>2028</v>
      </c>
      <c r="L21" s="66">
        <f t="shared" si="0"/>
        <v>2029</v>
      </c>
      <c r="M21" s="67">
        <f t="shared" si="0"/>
        <v>2030</v>
      </c>
      <c r="N21" s="104"/>
    </row>
    <row r="22" spans="2:14" ht="15" x14ac:dyDescent="0.25">
      <c r="B22" s="105"/>
      <c r="C22" s="1125" t="s">
        <v>224</v>
      </c>
      <c r="D22" s="37" t="s">
        <v>225</v>
      </c>
      <c r="E22" s="272" t="s">
        <v>226</v>
      </c>
      <c r="F22" s="803"/>
      <c r="G22" s="273">
        <v>4.4026457213724779E-2</v>
      </c>
      <c r="H22" s="273">
        <v>2.2749158582458628E-2</v>
      </c>
      <c r="I22" s="273">
        <v>2.1999999999999999E-2</v>
      </c>
      <c r="J22" s="273">
        <v>0.02</v>
      </c>
      <c r="K22" s="273">
        <v>2.0000000000000018E-2</v>
      </c>
      <c r="L22" s="273">
        <v>2.0000000000000018E-2</v>
      </c>
      <c r="M22" s="804">
        <v>2.0000000000000018E-2</v>
      </c>
      <c r="N22" s="104"/>
    </row>
    <row r="23" spans="2:14" ht="15" x14ac:dyDescent="0.25">
      <c r="B23" s="111" t="s">
        <v>227</v>
      </c>
      <c r="C23" s="1126"/>
      <c r="D23" s="284" t="s">
        <v>228</v>
      </c>
      <c r="E23" s="285" t="s">
        <v>229</v>
      </c>
      <c r="F23" s="286">
        <v>1</v>
      </c>
      <c r="G23" s="287">
        <f t="shared" ref="G23:M23" si="1">+F23*(1+G22)</f>
        <v>1.0440264572137248</v>
      </c>
      <c r="H23" s="287">
        <f t="shared" si="1"/>
        <v>1.0677771806531622</v>
      </c>
      <c r="I23" s="287">
        <f t="shared" si="1"/>
        <v>1.0912682786275318</v>
      </c>
      <c r="J23" s="287">
        <f t="shared" si="1"/>
        <v>1.1130936442000825</v>
      </c>
      <c r="K23" s="287">
        <f t="shared" si="1"/>
        <v>1.1353555170840841</v>
      </c>
      <c r="L23" s="287">
        <f t="shared" si="1"/>
        <v>1.1580626274257657</v>
      </c>
      <c r="M23" s="288">
        <f t="shared" si="1"/>
        <v>1.1812238799742811</v>
      </c>
      <c r="N23" s="104"/>
    </row>
    <row r="24" spans="2:14" ht="15" x14ac:dyDescent="0.25">
      <c r="B24" s="105"/>
      <c r="C24" s="1125" t="s">
        <v>230</v>
      </c>
      <c r="D24" s="37" t="s">
        <v>225</v>
      </c>
      <c r="E24" s="272" t="s">
        <v>231</v>
      </c>
      <c r="F24" s="386"/>
      <c r="G24" s="273">
        <v>4.4026457213724779E-2</v>
      </c>
      <c r="H24" s="273">
        <v>2.395565234607E-2</v>
      </c>
      <c r="I24" s="595">
        <v>3.325599381283828E-2</v>
      </c>
      <c r="J24" s="273"/>
      <c r="K24" s="273"/>
      <c r="L24" s="273"/>
      <c r="M24" s="274"/>
      <c r="N24" s="104"/>
    </row>
    <row r="25" spans="2:14" ht="15" x14ac:dyDescent="0.25">
      <c r="B25" s="111" t="s">
        <v>232</v>
      </c>
      <c r="C25" s="1126"/>
      <c r="D25" s="284" t="s">
        <v>228</v>
      </c>
      <c r="E25" s="285" t="s">
        <v>229</v>
      </c>
      <c r="F25" s="286">
        <v>1</v>
      </c>
      <c r="G25" s="287">
        <f>+F25*(1+G24)</f>
        <v>1.0440264572137248</v>
      </c>
      <c r="H25" s="287">
        <f>+G25*(1+H24)</f>
        <v>1.0690367920628359</v>
      </c>
      <c r="I25" s="287">
        <f>+IF(I24=0,,H25*(1+I24))</f>
        <v>1.104588673005374</v>
      </c>
      <c r="J25" s="287">
        <f t="shared" ref="J25:K25" si="2">+IF(J24=0,,I25*(1+J24))</f>
        <v>0</v>
      </c>
      <c r="K25" s="287">
        <f t="shared" si="2"/>
        <v>0</v>
      </c>
      <c r="L25" s="287">
        <f>+IF(L24=0,,K25*(1+L24))</f>
        <v>0</v>
      </c>
      <c r="M25" s="288">
        <f t="shared" ref="M25" si="3">+IF(M24=0,,L25*(1+M24))</f>
        <v>0</v>
      </c>
      <c r="N25" s="104"/>
    </row>
    <row r="26" spans="2:14" ht="15" x14ac:dyDescent="0.25">
      <c r="B26" s="111"/>
      <c r="C26" s="474"/>
      <c r="D26" s="1"/>
      <c r="E26" s="475"/>
      <c r="F26" s="476"/>
      <c r="G26" s="476"/>
      <c r="H26" s="476"/>
      <c r="I26" s="476"/>
      <c r="J26" s="476"/>
      <c r="K26" s="476"/>
      <c r="L26" s="476"/>
      <c r="M26" s="476"/>
      <c r="N26" s="104"/>
    </row>
    <row r="27" spans="2:14" ht="15" x14ac:dyDescent="0.25">
      <c r="B27" s="111"/>
      <c r="C27" s="479" t="s">
        <v>233</v>
      </c>
      <c r="D27" s="1"/>
      <c r="E27" s="475"/>
      <c r="F27" s="476"/>
      <c r="G27" s="476"/>
      <c r="H27" s="476"/>
      <c r="I27" s="476"/>
      <c r="J27" s="476"/>
      <c r="K27" s="476"/>
      <c r="L27" s="476"/>
      <c r="M27" s="476"/>
      <c r="N27" s="104"/>
    </row>
    <row r="28" spans="2:14" ht="15" x14ac:dyDescent="0.25">
      <c r="B28" s="111"/>
      <c r="C28" s="33"/>
      <c r="D28" s="1"/>
      <c r="E28" s="475"/>
      <c r="F28" s="476"/>
      <c r="G28" s="476"/>
      <c r="H28" s="476"/>
      <c r="I28" s="476"/>
      <c r="J28" s="476"/>
      <c r="K28" s="476"/>
      <c r="L28" s="476"/>
      <c r="M28" s="476"/>
      <c r="N28" s="104"/>
    </row>
    <row r="29" spans="2:14" ht="15" x14ac:dyDescent="0.25">
      <c r="B29" s="376" t="s">
        <v>234</v>
      </c>
      <c r="C29" s="474"/>
      <c r="D29" s="271" t="s">
        <v>207</v>
      </c>
      <c r="E29" s="367" t="s">
        <v>208</v>
      </c>
      <c r="F29" s="476"/>
      <c r="G29" s="476"/>
      <c r="H29" s="476"/>
      <c r="I29" s="476"/>
      <c r="J29" s="476"/>
      <c r="K29" s="476"/>
      <c r="L29" s="476"/>
      <c r="M29" s="476"/>
      <c r="N29" s="104"/>
    </row>
    <row r="30" spans="2:14" ht="30" x14ac:dyDescent="0.2">
      <c r="B30" s="111"/>
      <c r="C30" s="443" t="s">
        <v>235</v>
      </c>
      <c r="D30" s="597">
        <v>1359</v>
      </c>
      <c r="E30" s="605" t="s">
        <v>236</v>
      </c>
      <c r="F30" s="606"/>
      <c r="G30" s="606"/>
      <c r="H30" s="606"/>
      <c r="I30" s="606"/>
      <c r="J30" s="606"/>
      <c r="K30" s="606"/>
      <c r="L30" s="606"/>
      <c r="M30" s="606"/>
      <c r="N30" s="607"/>
    </row>
    <row r="31" spans="2:14" ht="30" x14ac:dyDescent="0.2">
      <c r="B31" s="111"/>
      <c r="C31" s="368" t="s">
        <v>237</v>
      </c>
      <c r="D31" s="598">
        <v>1306</v>
      </c>
      <c r="E31" s="608" t="s">
        <v>238</v>
      </c>
      <c r="F31" s="606"/>
      <c r="G31" s="606"/>
      <c r="H31" s="606"/>
      <c r="I31" s="606"/>
      <c r="J31" s="606"/>
      <c r="K31" s="606"/>
      <c r="L31" s="606"/>
      <c r="M31" s="606"/>
      <c r="N31" s="607"/>
    </row>
    <row r="32" spans="2:14" ht="15" x14ac:dyDescent="0.25">
      <c r="B32" s="111"/>
      <c r="C32" s="443" t="s">
        <v>239</v>
      </c>
      <c r="D32" s="596">
        <f>IF(D30&lt;&gt;0,D30/D31-1, 0)</f>
        <v>4.058192955589579E-2</v>
      </c>
      <c r="E32"/>
      <c r="F32" s="476"/>
      <c r="G32" s="476"/>
      <c r="H32" s="476"/>
      <c r="I32" s="476"/>
      <c r="J32" s="476"/>
      <c r="K32" s="476"/>
      <c r="L32" s="476"/>
      <c r="M32" s="476"/>
      <c r="N32" s="104"/>
    </row>
    <row r="33" spans="2:14" ht="15" x14ac:dyDescent="0.25">
      <c r="B33" s="480"/>
      <c r="C33" s="481"/>
      <c r="D33" s="18"/>
      <c r="E33" s="482"/>
      <c r="F33" s="483"/>
      <c r="G33" s="483"/>
      <c r="H33" s="483"/>
      <c r="I33" s="483"/>
      <c r="J33" s="483"/>
      <c r="K33" s="483"/>
      <c r="L33" s="483"/>
      <c r="M33" s="483"/>
      <c r="N33" s="221"/>
    </row>
    <row r="34" spans="2:14" ht="15" x14ac:dyDescent="0.25">
      <c r="B34" s="356" t="str">
        <f>'Directors Certificate'!B57</f>
        <v>Transpower's Annual Compliance Statement for the year ending 30 June 2026</v>
      </c>
      <c r="C34" s="357"/>
      <c r="D34" s="357"/>
      <c r="E34" s="357"/>
      <c r="F34" s="357"/>
      <c r="G34" s="357"/>
      <c r="H34" s="357"/>
      <c r="I34" s="357"/>
      <c r="J34" s="357"/>
      <c r="K34" s="357"/>
      <c r="L34" s="357"/>
      <c r="M34" s="357"/>
      <c r="N34" s="357"/>
    </row>
  </sheetData>
  <mergeCells count="7">
    <mergeCell ref="B2:J2"/>
    <mergeCell ref="F20:M20"/>
    <mergeCell ref="C22:C23"/>
    <mergeCell ref="C24:C25"/>
    <mergeCell ref="B5:N5"/>
    <mergeCell ref="E11:E13"/>
    <mergeCell ref="E14:E15"/>
  </mergeCells>
  <hyperlinks>
    <hyperlink ref="B2" location="Contents!A1" display="A summary of pass-through costs and recoverable costs for the disclosure year as set out in Schedule H" xr:uid="{F23C2694-194D-4DA4-9454-97A9F55BAD71}"/>
    <hyperlink ref="B2:J2" location="'Table of Contents'!A1" display="'Table of Contents'!A1" xr:uid="{5CDF9FA8-8C5F-4B25-B799-5E7259EA28F0}"/>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rowBreaks count="1" manualBreakCount="1">
    <brk id="16" min="1" max="1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90810-44E6-48BF-8A7D-3178BEA8CE19}">
  <sheetPr>
    <tabColor theme="0"/>
    <pageSetUpPr fitToPage="1"/>
  </sheetPr>
  <dimension ref="B4:B5"/>
  <sheetViews>
    <sheetView topLeftCell="B1" zoomScaleNormal="100" workbookViewId="0">
      <selection activeCell="G51" sqref="G51"/>
    </sheetView>
  </sheetViews>
  <sheetFormatPr defaultColWidth="9.140625" defaultRowHeight="15" x14ac:dyDescent="0.25"/>
  <cols>
    <col min="1" max="16384" width="9.140625" style="1"/>
  </cols>
  <sheetData>
    <row r="4" spans="2:2" ht="53.25" x14ac:dyDescent="0.85">
      <c r="B4" s="345" t="s">
        <v>240</v>
      </c>
    </row>
    <row r="5" spans="2:2" x14ac:dyDescent="0.25">
      <c r="B5" s="1" t="s">
        <v>241</v>
      </c>
    </row>
  </sheetData>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9A55-F884-45EE-8D20-2E6333126439}">
  <sheetPr>
    <tabColor theme="3" tint="0.249977111117893"/>
    <pageSetUpPr fitToPage="1"/>
  </sheetPr>
  <dimension ref="B2:M35"/>
  <sheetViews>
    <sheetView view="pageBreakPreview" topLeftCell="A4" zoomScale="70" zoomScaleNormal="85" zoomScaleSheetLayoutView="70" workbookViewId="0"/>
  </sheetViews>
  <sheetFormatPr defaultColWidth="9.140625" defaultRowHeight="12.75" outlineLevelCol="1" x14ac:dyDescent="0.2"/>
  <cols>
    <col min="1" max="1" width="3.42578125" style="5" customWidth="1"/>
    <col min="2" max="2" width="17.5703125" style="5" customWidth="1"/>
    <col min="3" max="3" width="61.28515625" style="5" customWidth="1"/>
    <col min="4" max="4" width="14.7109375" style="5" customWidth="1" outlineLevel="1"/>
    <col min="5" max="11" width="14.7109375" style="5" customWidth="1"/>
    <col min="12" max="12" width="3.140625" style="5" customWidth="1"/>
    <col min="13" max="13" width="8.7109375" style="5" customWidth="1"/>
    <col min="14" max="16384" width="9.140625" style="5"/>
  </cols>
  <sheetData>
    <row r="2" spans="2:12" ht="39.75" customHeight="1" x14ac:dyDescent="0.3">
      <c r="B2" s="1141" t="s">
        <v>242</v>
      </c>
      <c r="C2" s="1142"/>
      <c r="D2" s="1142"/>
      <c r="E2" s="1142"/>
      <c r="F2" s="1142"/>
      <c r="G2" s="222"/>
      <c r="H2" s="222"/>
      <c r="I2" s="222"/>
      <c r="J2" s="222"/>
      <c r="K2" s="222"/>
      <c r="L2" s="223"/>
    </row>
    <row r="3" spans="2:12" ht="21" customHeight="1" x14ac:dyDescent="0.2">
      <c r="B3" s="490"/>
      <c r="C3" s="157"/>
      <c r="D3" s="157"/>
      <c r="E3" s="158"/>
      <c r="F3" s="157"/>
      <c r="G3" s="157"/>
      <c r="H3" s="157"/>
      <c r="I3" s="159" t="s">
        <v>3</v>
      </c>
      <c r="J3" s="735">
        <f>+'4_RAB'!E3</f>
        <v>46203</v>
      </c>
      <c r="K3" s="210"/>
      <c r="L3" s="225"/>
    </row>
    <row r="4" spans="2:12" ht="22.5" customHeight="1" x14ac:dyDescent="0.2">
      <c r="B4" s="260" t="s">
        <v>243</v>
      </c>
      <c r="C4" s="204"/>
      <c r="D4" s="204"/>
      <c r="E4" s="204"/>
      <c r="F4" s="204"/>
      <c r="G4" s="204"/>
      <c r="H4" s="204"/>
      <c r="I4" s="204"/>
      <c r="J4" s="204"/>
      <c r="K4" s="204"/>
      <c r="L4" s="436"/>
    </row>
    <row r="5" spans="2:12" ht="45.75" customHeight="1" x14ac:dyDescent="0.2">
      <c r="B5" s="1138" t="s">
        <v>244</v>
      </c>
      <c r="C5" s="1139"/>
      <c r="D5" s="1139"/>
      <c r="E5" s="1139"/>
      <c r="F5" s="1139"/>
      <c r="G5" s="1139"/>
      <c r="H5" s="1139"/>
      <c r="I5" s="1139"/>
      <c r="J5" s="1139"/>
      <c r="K5" s="1139"/>
      <c r="L5" s="1140"/>
    </row>
    <row r="6" spans="2:12" ht="15" x14ac:dyDescent="0.2">
      <c r="B6" s="1135" t="s">
        <v>245</v>
      </c>
      <c r="C6" s="1136"/>
      <c r="D6" s="1136"/>
      <c r="E6" s="1136"/>
      <c r="F6" s="1136"/>
      <c r="G6" s="1136"/>
      <c r="H6" s="1136"/>
      <c r="I6" s="1136"/>
      <c r="J6" s="1136"/>
      <c r="K6" s="1136"/>
      <c r="L6" s="1137"/>
    </row>
    <row r="7" spans="2:12" x14ac:dyDescent="0.2">
      <c r="B7" s="105"/>
      <c r="C7" s="106"/>
      <c r="D7" s="106"/>
      <c r="L7" s="104"/>
    </row>
    <row r="8" spans="2:12" ht="15" x14ac:dyDescent="0.25">
      <c r="B8" s="376" t="s">
        <v>246</v>
      </c>
      <c r="D8" s="484" t="s">
        <v>247</v>
      </c>
      <c r="L8" s="104"/>
    </row>
    <row r="9" spans="2:12" x14ac:dyDescent="0.2">
      <c r="B9" s="105"/>
      <c r="C9" s="254" t="s">
        <v>248</v>
      </c>
      <c r="D9" s="447">
        <f>K16</f>
        <v>976.7</v>
      </c>
      <c r="L9" s="104"/>
    </row>
    <row r="10" spans="2:12" x14ac:dyDescent="0.2">
      <c r="B10" s="105"/>
      <c r="C10" s="485"/>
      <c r="D10" s="485"/>
      <c r="L10" s="104"/>
    </row>
    <row r="11" spans="2:12" ht="15" x14ac:dyDescent="0.25">
      <c r="B11" s="376" t="s">
        <v>249</v>
      </c>
      <c r="C11" s="6"/>
      <c r="D11" s="358"/>
      <c r="L11" s="104"/>
    </row>
    <row r="12" spans="2:12" ht="15" x14ac:dyDescent="0.2">
      <c r="B12" s="1135" t="s">
        <v>250</v>
      </c>
      <c r="C12" s="1136"/>
      <c r="D12" s="1136"/>
      <c r="E12" s="1136"/>
      <c r="F12" s="1136"/>
      <c r="G12" s="1136"/>
      <c r="H12" s="1136"/>
      <c r="I12" s="1136"/>
      <c r="J12" s="1136"/>
      <c r="K12" s="1136"/>
      <c r="L12" s="1137"/>
    </row>
    <row r="13" spans="2:12" ht="15" x14ac:dyDescent="0.25">
      <c r="B13" s="486" t="s">
        <v>251</v>
      </c>
      <c r="C13" s="347"/>
      <c r="D13" s="347"/>
      <c r="E13" s="347"/>
      <c r="F13" s="347"/>
      <c r="G13" s="347"/>
      <c r="H13" s="347"/>
      <c r="I13" s="347"/>
      <c r="J13" s="347"/>
      <c r="K13" s="347"/>
      <c r="L13" s="348"/>
    </row>
    <row r="14" spans="2:12" ht="105" x14ac:dyDescent="0.2">
      <c r="B14" s="105"/>
      <c r="C14" s="81" t="s">
        <v>252</v>
      </c>
      <c r="D14" s="81" t="s">
        <v>253</v>
      </c>
      <c r="E14" s="81" t="s">
        <v>254</v>
      </c>
      <c r="F14" s="81" t="s">
        <v>255</v>
      </c>
      <c r="G14" s="81" t="s">
        <v>256</v>
      </c>
      <c r="H14" s="81" t="s">
        <v>257</v>
      </c>
      <c r="I14" s="81" t="s">
        <v>258</v>
      </c>
      <c r="J14" s="81" t="s">
        <v>259</v>
      </c>
      <c r="K14" s="81" t="s">
        <v>260</v>
      </c>
      <c r="L14" s="104"/>
    </row>
    <row r="15" spans="2:12" x14ac:dyDescent="0.2">
      <c r="B15" s="105"/>
      <c r="C15" s="2" t="s">
        <v>261</v>
      </c>
      <c r="D15" s="3" t="s">
        <v>262</v>
      </c>
      <c r="E15" s="2" t="s">
        <v>263</v>
      </c>
      <c r="F15" s="2" t="s">
        <v>264</v>
      </c>
      <c r="G15" s="2" t="s">
        <v>265</v>
      </c>
      <c r="H15" s="3" t="s">
        <v>266</v>
      </c>
      <c r="I15" s="3" t="s">
        <v>267</v>
      </c>
      <c r="J15" s="3" t="s">
        <v>268</v>
      </c>
      <c r="K15" s="3" t="s">
        <v>269</v>
      </c>
      <c r="L15" s="104"/>
    </row>
    <row r="16" spans="2:12" ht="15" x14ac:dyDescent="0.2">
      <c r="B16" s="105"/>
      <c r="C16" s="82" t="s">
        <v>270</v>
      </c>
      <c r="D16" s="82">
        <v>46203</v>
      </c>
      <c r="E16" s="528">
        <v>1076</v>
      </c>
      <c r="F16" s="84"/>
      <c r="G16" s="84"/>
      <c r="H16" s="84"/>
      <c r="I16" s="84"/>
      <c r="J16" s="524">
        <f>SUM(E16:I16)</f>
        <v>1076</v>
      </c>
      <c r="K16" s="524">
        <v>976.7</v>
      </c>
      <c r="L16" s="104"/>
    </row>
    <row r="17" spans="2:13" ht="15" x14ac:dyDescent="0.2">
      <c r="B17" s="105"/>
      <c r="C17" s="281" t="s">
        <v>271</v>
      </c>
      <c r="D17" s="281">
        <v>46568</v>
      </c>
      <c r="E17" s="529">
        <v>1112.9000000000001</v>
      </c>
      <c r="F17" s="282">
        <v>17</v>
      </c>
      <c r="G17" s="283"/>
      <c r="H17" s="283"/>
      <c r="I17" s="283"/>
      <c r="J17" s="525">
        <f t="shared" ref="J17:J20" si="0">SUM(E17:I17)</f>
        <v>1129.9000000000001</v>
      </c>
      <c r="K17" s="525">
        <v>1141.4000000000001</v>
      </c>
      <c r="L17" s="104"/>
    </row>
    <row r="18" spans="2:13" ht="15" x14ac:dyDescent="0.2">
      <c r="B18" s="105"/>
      <c r="C18" s="82" t="s">
        <v>272</v>
      </c>
      <c r="D18" s="82">
        <v>46934</v>
      </c>
      <c r="E18" s="528">
        <v>1161.7</v>
      </c>
      <c r="F18" s="83">
        <v>2.1</v>
      </c>
      <c r="G18" s="83">
        <v>0</v>
      </c>
      <c r="H18" s="84"/>
      <c r="I18" s="84"/>
      <c r="J18" s="526">
        <f t="shared" si="0"/>
        <v>1163.8</v>
      </c>
      <c r="K18" s="526">
        <v>1198.4000000000001</v>
      </c>
      <c r="L18" s="104"/>
    </row>
    <row r="19" spans="2:13" ht="15" x14ac:dyDescent="0.2">
      <c r="B19" s="105"/>
      <c r="C19" s="281" t="s">
        <v>273</v>
      </c>
      <c r="D19" s="281">
        <v>47299</v>
      </c>
      <c r="E19" s="529">
        <v>1230.4000000000001</v>
      </c>
      <c r="F19" s="282">
        <v>2.4</v>
      </c>
      <c r="G19" s="282">
        <v>0</v>
      </c>
      <c r="H19" s="282">
        <v>0</v>
      </c>
      <c r="I19" s="283"/>
      <c r="J19" s="525">
        <f t="shared" si="0"/>
        <v>1232.8000000000002</v>
      </c>
      <c r="K19" s="525">
        <v>1258.4000000000001</v>
      </c>
      <c r="L19" s="104"/>
    </row>
    <row r="20" spans="2:13" ht="15" x14ac:dyDescent="0.2">
      <c r="B20" s="105"/>
      <c r="C20" s="359" t="s">
        <v>274</v>
      </c>
      <c r="D20" s="202">
        <v>47664</v>
      </c>
      <c r="E20" s="530">
        <v>1271.5999999999999</v>
      </c>
      <c r="F20" s="203">
        <v>2.6</v>
      </c>
      <c r="G20" s="203">
        <v>0</v>
      </c>
      <c r="H20" s="203">
        <v>0</v>
      </c>
      <c r="I20" s="203">
        <v>0</v>
      </c>
      <c r="J20" s="527">
        <f t="shared" si="0"/>
        <v>1274.1999999999998</v>
      </c>
      <c r="K20" s="527">
        <v>1321.3</v>
      </c>
      <c r="L20" s="104"/>
    </row>
    <row r="21" spans="2:13" x14ac:dyDescent="0.2">
      <c r="B21" s="131"/>
      <c r="C21" s="241"/>
      <c r="D21" s="242"/>
      <c r="E21" s="103"/>
      <c r="F21" s="103"/>
      <c r="G21" s="103"/>
      <c r="H21" s="103"/>
      <c r="I21" s="103"/>
      <c r="J21" s="103"/>
      <c r="K21" s="103"/>
      <c r="L21" s="104"/>
    </row>
    <row r="22" spans="2:13" ht="18.75" x14ac:dyDescent="0.25">
      <c r="B22" s="260" t="s">
        <v>275</v>
      </c>
      <c r="C22" s="204"/>
      <c r="D22" s="204"/>
      <c r="E22" s="248"/>
      <c r="F22" s="248"/>
      <c r="G22" s="248"/>
      <c r="H22" s="248"/>
      <c r="I22" s="248"/>
      <c r="J22" s="248"/>
      <c r="K22" s="248"/>
      <c r="L22" s="375"/>
      <c r="M22" s="1"/>
    </row>
    <row r="23" spans="2:13" ht="15" customHeight="1" x14ac:dyDescent="0.25">
      <c r="B23" s="12" t="s">
        <v>1116</v>
      </c>
      <c r="C23" s="1"/>
      <c r="D23" s="1"/>
      <c r="E23" s="487"/>
      <c r="F23" s="487"/>
      <c r="G23" s="487"/>
      <c r="H23" s="487"/>
      <c r="I23" s="487"/>
      <c r="J23" s="487"/>
      <c r="K23" s="487"/>
      <c r="L23" s="246"/>
      <c r="M23" s="1"/>
    </row>
    <row r="24" spans="2:13" ht="80.25" customHeight="1" x14ac:dyDescent="0.25">
      <c r="B24" s="1135" t="s">
        <v>276</v>
      </c>
      <c r="C24" s="1136"/>
      <c r="D24" s="1136"/>
      <c r="E24" s="1136"/>
      <c r="F24" s="1136"/>
      <c r="G24" s="1136"/>
      <c r="H24" s="1136"/>
      <c r="I24" s="1136"/>
      <c r="J24" s="1136"/>
      <c r="K24" s="1136"/>
      <c r="L24" s="1137"/>
      <c r="M24" s="1"/>
    </row>
    <row r="25" spans="2:13" ht="9.75" customHeight="1" x14ac:dyDescent="0.25">
      <c r="B25" s="105"/>
      <c r="C25" s="21"/>
      <c r="D25" s="21"/>
      <c r="E25" s="487"/>
      <c r="F25" s="487"/>
      <c r="G25" s="487"/>
      <c r="H25" s="487"/>
      <c r="I25" s="487"/>
      <c r="J25" s="487"/>
      <c r="K25" s="487"/>
      <c r="L25" s="246"/>
      <c r="M25" s="1"/>
    </row>
    <row r="26" spans="2:13" ht="17.25" customHeight="1" x14ac:dyDescent="0.25">
      <c r="B26" s="376" t="s">
        <v>277</v>
      </c>
      <c r="C26" s="1"/>
      <c r="D26" s="850" t="s">
        <v>278</v>
      </c>
      <c r="E26" s="487"/>
      <c r="F26" s="487"/>
      <c r="G26" s="487"/>
      <c r="H26" s="1"/>
      <c r="I26" s="1"/>
      <c r="J26" s="1"/>
      <c r="K26" s="1"/>
      <c r="L26" s="16"/>
      <c r="M26" s="1"/>
    </row>
    <row r="27" spans="2:13" ht="15" x14ac:dyDescent="0.25">
      <c r="B27" s="249" t="s">
        <v>279</v>
      </c>
      <c r="C27" s="445" t="s">
        <v>280</v>
      </c>
      <c r="D27" s="191">
        <v>150.77031568000001</v>
      </c>
      <c r="E27" s="487"/>
      <c r="F27" s="487"/>
      <c r="G27" s="487"/>
      <c r="H27" s="1"/>
      <c r="I27" s="1"/>
      <c r="J27" s="1"/>
      <c r="K27" s="1"/>
      <c r="L27" s="16"/>
      <c r="M27" s="1"/>
    </row>
    <row r="28" spans="2:13" ht="15" x14ac:dyDescent="0.25">
      <c r="B28" s="249" t="s">
        <v>279</v>
      </c>
      <c r="C28" s="253" t="s">
        <v>281</v>
      </c>
      <c r="D28" s="190">
        <v>304.57982671000002</v>
      </c>
      <c r="E28" s="487"/>
      <c r="F28" s="487"/>
      <c r="G28" s="487"/>
      <c r="H28" s="1"/>
      <c r="I28" s="1"/>
      <c r="J28" s="1"/>
      <c r="K28" s="1"/>
      <c r="L28" s="16"/>
      <c r="M28" s="1"/>
    </row>
    <row r="29" spans="2:13" ht="15" x14ac:dyDescent="0.25">
      <c r="B29" s="249" t="s">
        <v>279</v>
      </c>
      <c r="C29" s="25" t="s">
        <v>282</v>
      </c>
      <c r="D29" s="191">
        <v>474.95005608000002</v>
      </c>
      <c r="E29" s="487"/>
      <c r="F29" s="487"/>
      <c r="G29" s="487"/>
      <c r="H29" s="1"/>
      <c r="I29" s="1"/>
      <c r="J29" s="1"/>
      <c r="K29" s="1"/>
      <c r="L29" s="16"/>
      <c r="M29" s="1"/>
    </row>
    <row r="30" spans="2:13" ht="15" x14ac:dyDescent="0.25">
      <c r="B30" s="249" t="s">
        <v>279</v>
      </c>
      <c r="C30" s="253" t="s">
        <v>283</v>
      </c>
      <c r="D30" s="190">
        <v>-1.46856E-3</v>
      </c>
      <c r="E30" s="487"/>
      <c r="F30" s="487"/>
      <c r="G30" s="487"/>
      <c r="H30" s="1"/>
      <c r="I30" s="1"/>
      <c r="J30" s="1"/>
      <c r="K30" s="1"/>
      <c r="L30" s="16"/>
      <c r="M30" s="1"/>
    </row>
    <row r="31" spans="2:13" ht="15" x14ac:dyDescent="0.25">
      <c r="B31" s="249" t="s">
        <v>279</v>
      </c>
      <c r="C31" s="25" t="s">
        <v>284</v>
      </c>
      <c r="D31" s="191">
        <v>44.696843999999999</v>
      </c>
      <c r="E31" s="487"/>
      <c r="F31" s="487"/>
      <c r="G31" s="487"/>
      <c r="H31" s="41"/>
      <c r="I31" s="41"/>
      <c r="J31" s="41"/>
      <c r="K31" s="41"/>
      <c r="L31" s="16"/>
      <c r="M31" s="1"/>
    </row>
    <row r="32" spans="2:13" ht="15" x14ac:dyDescent="0.25">
      <c r="B32" s="249" t="s">
        <v>279</v>
      </c>
      <c r="C32" s="446" t="s">
        <v>285</v>
      </c>
      <c r="D32" s="444">
        <v>6.7993140420306482</v>
      </c>
      <c r="E32" s="487"/>
      <c r="F32" s="487"/>
      <c r="G32" s="487"/>
      <c r="H32" s="1"/>
      <c r="I32" s="1"/>
      <c r="J32" s="1"/>
      <c r="K32" s="1"/>
      <c r="L32" s="377"/>
      <c r="M32" s="86"/>
    </row>
    <row r="33" spans="2:13" ht="15" x14ac:dyDescent="0.25">
      <c r="B33" s="12"/>
      <c r="C33" s="320" t="s">
        <v>286</v>
      </c>
      <c r="D33" s="139">
        <f>SUM(D27:D32)</f>
        <v>981.79488795203076</v>
      </c>
      <c r="E33" s="487"/>
      <c r="F33" s="487"/>
      <c r="G33" s="487"/>
      <c r="H33" s="1"/>
      <c r="I33" s="1"/>
      <c r="J33" s="1"/>
      <c r="K33" s="1"/>
      <c r="L33" s="16"/>
      <c r="M33" s="1"/>
    </row>
    <row r="34" spans="2:13" ht="9.75" customHeight="1" x14ac:dyDescent="0.25">
      <c r="B34" s="17"/>
      <c r="C34" s="488"/>
      <c r="D34" s="489"/>
      <c r="E34" s="250"/>
      <c r="F34" s="250"/>
      <c r="G34" s="250"/>
      <c r="H34" s="250"/>
      <c r="I34" s="250"/>
      <c r="J34" s="250"/>
      <c r="K34" s="250"/>
      <c r="L34" s="251"/>
      <c r="M34" s="1"/>
    </row>
    <row r="35" spans="2:13" ht="15" x14ac:dyDescent="0.25">
      <c r="B35" s="153" t="str">
        <f>"Transpower's Annual Compliance Statement for the year ending " &amp; TEXT('Directors Certificate'!$K$3,"dd mmmm yyyy")</f>
        <v>Transpower's Annual Compliance Statement for the year ending 30 June 2026</v>
      </c>
      <c r="C35" s="151"/>
      <c r="D35" s="151"/>
      <c r="E35" s="151"/>
      <c r="F35" s="151"/>
      <c r="G35" s="151"/>
      <c r="H35" s="151"/>
      <c r="I35" s="151"/>
      <c r="J35" s="151"/>
      <c r="K35" s="151"/>
      <c r="L35" s="152"/>
    </row>
  </sheetData>
  <mergeCells count="5">
    <mergeCell ref="B6:L6"/>
    <mergeCell ref="B24:L24"/>
    <mergeCell ref="B5:L5"/>
    <mergeCell ref="B12:L12"/>
    <mergeCell ref="B2:F2"/>
  </mergeCells>
  <phoneticPr fontId="84" type="noConversion"/>
  <hyperlinks>
    <hyperlink ref="B2" location="Contents!A1" display="A summary of pass-through costs and recoverable costs for the disclosure year as set out in Schedule H" xr:uid="{4CF275D1-C746-4723-80A2-C765C817F8DF}"/>
    <hyperlink ref="B2:D2" location="'Table of Contents'!A1" display="'Table of Contents'!A1" xr:uid="{5BF7A493-CF37-4328-9430-1B2B870E6505}"/>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2B5EA-5BF8-49FB-BAB9-9EECE514933C}">
  <sheetPr>
    <tabColor theme="3" tint="0.249977111117893"/>
    <pageSetUpPr fitToPage="1"/>
  </sheetPr>
  <dimension ref="B2:N136"/>
  <sheetViews>
    <sheetView view="pageBreakPreview" topLeftCell="A4" zoomScale="70" zoomScaleNormal="85" zoomScaleSheetLayoutView="70" workbookViewId="0"/>
  </sheetViews>
  <sheetFormatPr defaultColWidth="9.140625" defaultRowHeight="12.75" outlineLevelCol="1" x14ac:dyDescent="0.2"/>
  <cols>
    <col min="1" max="1" width="3.42578125" style="5" customWidth="1"/>
    <col min="2" max="2" width="16.85546875" style="5" customWidth="1"/>
    <col min="3" max="3" width="55" style="5" customWidth="1"/>
    <col min="4" max="4" width="65.7109375" style="5" customWidth="1" outlineLevel="1"/>
    <col min="5" max="5" width="13" style="5" customWidth="1" outlineLevel="1"/>
    <col min="6" max="6" width="12.28515625" style="5" customWidth="1" outlineLevel="1"/>
    <col min="7" max="7" width="10.28515625" style="5" customWidth="1" outlineLevel="1"/>
    <col min="8" max="9" width="15.42578125" style="5" customWidth="1"/>
    <col min="10" max="10" width="1.5703125" style="5" customWidth="1"/>
    <col min="11" max="12" width="15.42578125" style="5" customWidth="1"/>
    <col min="13" max="16384" width="9.140625" style="5"/>
  </cols>
  <sheetData>
    <row r="2" spans="2:14" ht="39.75" customHeight="1" x14ac:dyDescent="0.3">
      <c r="B2" s="1141" t="s">
        <v>287</v>
      </c>
      <c r="C2" s="1142"/>
      <c r="D2" s="1142"/>
      <c r="E2" s="1142"/>
      <c r="F2" s="228"/>
      <c r="G2" s="228"/>
      <c r="H2" s="228"/>
      <c r="I2" s="222"/>
      <c r="J2" s="222"/>
      <c r="K2" s="223"/>
    </row>
    <row r="3" spans="2:14" ht="21" customHeight="1" x14ac:dyDescent="0.2">
      <c r="B3" s="736"/>
      <c r="C3" s="737"/>
      <c r="D3" s="737"/>
      <c r="E3" s="231"/>
      <c r="F3" s="231"/>
      <c r="G3" s="231"/>
      <c r="H3" s="232" t="s">
        <v>3</v>
      </c>
      <c r="I3" s="734">
        <f>+'4_RAB'!E3</f>
        <v>46203</v>
      </c>
      <c r="J3" s="737"/>
      <c r="K3" s="738"/>
    </row>
    <row r="4" spans="2:14" ht="18.75" x14ac:dyDescent="0.2">
      <c r="B4" s="244" t="s">
        <v>288</v>
      </c>
      <c r="C4" s="609"/>
      <c r="D4" s="609"/>
      <c r="E4" s="609"/>
      <c r="F4" s="609"/>
      <c r="G4" s="609"/>
      <c r="H4" s="609"/>
      <c r="I4" s="609"/>
      <c r="J4" s="609"/>
      <c r="K4" s="610"/>
    </row>
    <row r="5" spans="2:14" ht="62.25" customHeight="1" x14ac:dyDescent="0.2">
      <c r="B5" s="1152" t="s">
        <v>289</v>
      </c>
      <c r="C5" s="1153"/>
      <c r="D5" s="1153"/>
      <c r="E5" s="1153"/>
      <c r="F5" s="1153"/>
      <c r="G5" s="1153"/>
      <c r="H5" s="1153"/>
      <c r="I5" s="1153"/>
      <c r="J5" s="1153"/>
      <c r="K5" s="1154"/>
    </row>
    <row r="6" spans="2:14" ht="15" customHeight="1" x14ac:dyDescent="0.2">
      <c r="B6" s="1135" t="s">
        <v>290</v>
      </c>
      <c r="C6" s="1136"/>
      <c r="D6" s="1136"/>
      <c r="E6" s="1136"/>
      <c r="F6" s="1136"/>
      <c r="G6" s="1136"/>
      <c r="H6" s="1136"/>
      <c r="I6" s="1136"/>
      <c r="J6" s="1136"/>
      <c r="K6" s="1137"/>
    </row>
    <row r="7" spans="2:14" ht="15" x14ac:dyDescent="0.25">
      <c r="B7" s="376" t="s">
        <v>291</v>
      </c>
      <c r="C7" s="346"/>
      <c r="D7" s="346"/>
      <c r="E7" s="346"/>
      <c r="F7" s="346"/>
      <c r="G7" s="211"/>
      <c r="H7" s="211"/>
      <c r="I7" s="211"/>
      <c r="J7" s="211"/>
      <c r="K7" s="611"/>
    </row>
    <row r="8" spans="2:14" ht="38.25" customHeight="1" x14ac:dyDescent="0.25">
      <c r="B8" s="537" t="s">
        <v>292</v>
      </c>
      <c r="C8" s="612"/>
      <c r="D8" s="612"/>
      <c r="E8" s="612"/>
      <c r="F8" s="612"/>
      <c r="G8" s="613" t="s">
        <v>293</v>
      </c>
      <c r="H8" s="1158" t="s">
        <v>294</v>
      </c>
      <c r="I8" s="1159"/>
      <c r="J8" s="613" t="s">
        <v>293</v>
      </c>
      <c r="K8" s="611"/>
    </row>
    <row r="9" spans="2:14" ht="44.25" customHeight="1" x14ac:dyDescent="0.2">
      <c r="B9" s="105"/>
      <c r="C9" s="810" t="s">
        <v>295</v>
      </c>
      <c r="D9" s="811" t="s">
        <v>296</v>
      </c>
      <c r="E9" s="820" t="s">
        <v>297</v>
      </c>
      <c r="F9" s="820"/>
      <c r="G9" s="820" t="s">
        <v>298</v>
      </c>
      <c r="H9" s="812" t="s">
        <v>299</v>
      </c>
      <c r="I9" s="813" t="s">
        <v>300</v>
      </c>
      <c r="J9" s="614" t="s">
        <v>293</v>
      </c>
      <c r="K9" s="611"/>
    </row>
    <row r="10" spans="2:14" ht="15" x14ac:dyDescent="0.25">
      <c r="B10" s="24" t="s">
        <v>301</v>
      </c>
      <c r="C10" s="561" t="s">
        <v>261</v>
      </c>
      <c r="D10" s="562" t="s">
        <v>262</v>
      </c>
      <c r="E10" s="821" t="s">
        <v>293</v>
      </c>
      <c r="F10" s="821"/>
      <c r="G10" s="817" t="s">
        <v>264</v>
      </c>
      <c r="H10" s="818" t="s">
        <v>263</v>
      </c>
      <c r="I10" s="819" t="s">
        <v>265</v>
      </c>
      <c r="J10" s="615" t="s">
        <v>293</v>
      </c>
      <c r="K10" s="611"/>
    </row>
    <row r="11" spans="2:14" ht="15" x14ac:dyDescent="0.25">
      <c r="B11" s="247"/>
      <c r="C11" s="563" t="s">
        <v>302</v>
      </c>
      <c r="D11" s="564" t="s">
        <v>302</v>
      </c>
      <c r="E11" s="822" t="s">
        <v>303</v>
      </c>
      <c r="F11" s="822"/>
      <c r="G11" s="565">
        <f>'1_Inputs'!D11</f>
        <v>7.0999999999999952E-2</v>
      </c>
      <c r="H11" s="566" t="s">
        <v>293</v>
      </c>
      <c r="I11" s="567" t="s">
        <v>293</v>
      </c>
      <c r="J11" s="543" t="s">
        <v>293</v>
      </c>
      <c r="K11" s="611"/>
      <c r="L11" s="211"/>
      <c r="M11" s="107"/>
      <c r="N11" s="107"/>
    </row>
    <row r="12" spans="2:14" ht="15" x14ac:dyDescent="0.25">
      <c r="B12" s="247"/>
      <c r="C12" s="568" t="s" cm="1">
        <v>304</v>
      </c>
      <c r="D12" s="568" t="s">
        <v>305</v>
      </c>
      <c r="E12" s="823" t="s">
        <v>232</v>
      </c>
      <c r="F12" s="823"/>
      <c r="G12" s="360">
        <f>+$G$11/(1+G11)^(163/365)</f>
        <v>6.8858111181748116E-2</v>
      </c>
      <c r="H12" s="569">
        <v>5215.4664850762001</v>
      </c>
      <c r="I12" s="570">
        <f>H12*G12</f>
        <v>359.12717109405804</v>
      </c>
      <c r="J12" s="543" t="s">
        <v>293</v>
      </c>
      <c r="K12" s="611"/>
      <c r="L12" s="211"/>
      <c r="M12" s="107"/>
      <c r="N12" s="107"/>
    </row>
    <row r="13" spans="2:14" ht="15" x14ac:dyDescent="0.25">
      <c r="B13" s="247"/>
      <c r="C13" s="563" t="s">
        <v>306</v>
      </c>
      <c r="D13" s="564" t="s">
        <v>307</v>
      </c>
      <c r="E13" s="822" t="s">
        <v>308</v>
      </c>
      <c r="F13" s="822"/>
      <c r="G13" s="361">
        <f>((1+$G$11)^(349.5/365)-1)/(1+$G$11)^(163/365)</f>
        <v>6.5836968919986763E-2</v>
      </c>
      <c r="H13" s="571">
        <v>0</v>
      </c>
      <c r="I13" s="567">
        <f t="shared" ref="I13:I24" si="0">H13*G13</f>
        <v>0</v>
      </c>
      <c r="J13" s="543" t="s">
        <v>293</v>
      </c>
      <c r="K13" s="611"/>
      <c r="L13" s="211"/>
      <c r="M13" s="107"/>
      <c r="N13" s="107"/>
    </row>
    <row r="14" spans="2:14" ht="15" x14ac:dyDescent="0.25">
      <c r="B14" s="247"/>
      <c r="C14" s="572" t="s">
        <v>309</v>
      </c>
      <c r="D14" s="568" t="s">
        <v>310</v>
      </c>
      <c r="E14" s="823" t="s">
        <v>311</v>
      </c>
      <c r="F14" s="823"/>
      <c r="G14" s="360">
        <f>((1+$G$11)^(318.5/365)-1)/(1+$G$11)^(163/365)</f>
        <v>5.9821020778359865E-2</v>
      </c>
      <c r="H14" s="573">
        <v>0</v>
      </c>
      <c r="I14" s="570">
        <f t="shared" si="0"/>
        <v>0</v>
      </c>
      <c r="J14" s="543" t="s">
        <v>293</v>
      </c>
      <c r="K14" s="611"/>
      <c r="L14" s="211"/>
      <c r="M14" s="107"/>
      <c r="N14" s="107"/>
    </row>
    <row r="15" spans="2:14" ht="15" x14ac:dyDescent="0.25">
      <c r="B15" s="247"/>
      <c r="C15" s="563" t="s">
        <v>312</v>
      </c>
      <c r="D15" s="564" t="s">
        <v>313</v>
      </c>
      <c r="E15" s="822" t="s">
        <v>314</v>
      </c>
      <c r="F15" s="822"/>
      <c r="G15" s="361">
        <f>((1+$G$11)^(288/365)-1)/(1+$G$11)^(163/365)</f>
        <v>5.3936209378239244E-2</v>
      </c>
      <c r="H15" s="571">
        <v>0</v>
      </c>
      <c r="I15" s="567">
        <f t="shared" si="0"/>
        <v>0</v>
      </c>
      <c r="J15" s="543" t="s">
        <v>293</v>
      </c>
      <c r="K15" s="611"/>
      <c r="L15" s="211"/>
      <c r="M15" s="107"/>
      <c r="N15" s="107"/>
    </row>
    <row r="16" spans="2:14" ht="15" x14ac:dyDescent="0.25">
      <c r="B16" s="247"/>
      <c r="C16" s="572" t="s">
        <v>315</v>
      </c>
      <c r="D16" s="568" t="s">
        <v>316</v>
      </c>
      <c r="E16" s="823" t="s">
        <v>317</v>
      </c>
      <c r="F16" s="823"/>
      <c r="G16" s="360">
        <f>((1+$G$11)^(257.5/365)-1)/(1+$G$11)^(163/365)</f>
        <v>4.8085031625527401E-2</v>
      </c>
      <c r="H16" s="573">
        <v>0</v>
      </c>
      <c r="I16" s="570">
        <f t="shared" si="0"/>
        <v>0</v>
      </c>
      <c r="J16" s="543" t="s">
        <v>293</v>
      </c>
      <c r="K16" s="611"/>
      <c r="L16" s="211"/>
      <c r="M16" s="107"/>
      <c r="N16" s="107"/>
    </row>
    <row r="17" spans="2:14" ht="15" x14ac:dyDescent="0.25">
      <c r="B17" s="247"/>
      <c r="C17" s="563" t="s">
        <v>318</v>
      </c>
      <c r="D17" s="564" t="s">
        <v>319</v>
      </c>
      <c r="E17" s="822" t="s">
        <v>320</v>
      </c>
      <c r="F17" s="822"/>
      <c r="G17" s="361">
        <f>((1+$G$11)^(227/365)-1)/(1+$G$11)^(163/365)</f>
        <v>4.2267295292782926E-2</v>
      </c>
      <c r="H17" s="574">
        <v>0</v>
      </c>
      <c r="I17" s="567">
        <f t="shared" si="0"/>
        <v>0</v>
      </c>
      <c r="J17" s="543" t="s">
        <v>293</v>
      </c>
      <c r="K17" s="611"/>
      <c r="L17" s="211"/>
      <c r="M17" s="107"/>
      <c r="N17" s="107"/>
    </row>
    <row r="18" spans="2:14" ht="15" x14ac:dyDescent="0.25">
      <c r="B18" s="247"/>
      <c r="C18" s="572" t="s">
        <v>321</v>
      </c>
      <c r="D18" s="568" t="s">
        <v>322</v>
      </c>
      <c r="E18" s="823" t="s">
        <v>323</v>
      </c>
      <c r="F18" s="823"/>
      <c r="G18" s="360">
        <f>((1+$G$11)^(196.5/365)-1)/(1+$G$11)^(163/365)</f>
        <v>3.6482809251207844E-2</v>
      </c>
      <c r="H18" s="573">
        <v>273.70011955761845</v>
      </c>
      <c r="I18" s="570">
        <f t="shared" si="0"/>
        <v>9.985349253853375</v>
      </c>
      <c r="J18" s="543" t="s">
        <v>293</v>
      </c>
      <c r="K18" s="611"/>
      <c r="L18" s="211"/>
      <c r="M18" s="107"/>
      <c r="N18" s="107"/>
    </row>
    <row r="19" spans="2:14" ht="15" x14ac:dyDescent="0.25">
      <c r="B19" s="247"/>
      <c r="C19" s="563" t="s">
        <v>324</v>
      </c>
      <c r="D19" s="564" t="s">
        <v>325</v>
      </c>
      <c r="E19" s="822" t="s">
        <v>326</v>
      </c>
      <c r="F19" s="822"/>
      <c r="G19" s="361">
        <f>((1+$G$11)^(165.5/365)-1)/(1+$G$11)^(163/365)</f>
        <v>3.0637372164281161E-2</v>
      </c>
      <c r="H19" s="574">
        <v>273.70011955761845</v>
      </c>
      <c r="I19" s="567">
        <f t="shared" si="0"/>
        <v>8.3854524242950053</v>
      </c>
      <c r="J19" s="543" t="s">
        <v>293</v>
      </c>
      <c r="K19" s="611"/>
      <c r="L19" s="211"/>
      <c r="M19" s="107"/>
      <c r="N19" s="107"/>
    </row>
    <row r="20" spans="2:14" ht="15" x14ac:dyDescent="0.25">
      <c r="B20" s="247"/>
      <c r="C20" s="572" t="s">
        <v>327</v>
      </c>
      <c r="D20" s="568" t="s">
        <v>328</v>
      </c>
      <c r="E20" s="823" t="s">
        <v>329</v>
      </c>
      <c r="F20" s="823"/>
      <c r="G20" s="360">
        <f>((1+$G$11)^(136/365)-1)/(1+$G$11)^(163/365)</f>
        <v>2.5106311759790299E-2</v>
      </c>
      <c r="H20" s="573">
        <v>0</v>
      </c>
      <c r="I20" s="570">
        <f t="shared" si="0"/>
        <v>0</v>
      </c>
      <c r="J20" s="543" t="s">
        <v>293</v>
      </c>
      <c r="K20" s="611"/>
      <c r="L20" s="211"/>
      <c r="M20" s="107"/>
      <c r="N20" s="107"/>
    </row>
    <row r="21" spans="2:14" ht="15" x14ac:dyDescent="0.25">
      <c r="B21" s="247"/>
      <c r="C21" s="563" t="s">
        <v>330</v>
      </c>
      <c r="D21" s="564" t="s">
        <v>331</v>
      </c>
      <c r="E21" s="822" t="s">
        <v>332</v>
      </c>
      <c r="F21" s="822"/>
      <c r="G21" s="361">
        <f>((1+$G$11)^(106.5/365)-1)/(1+$G$11)^(163/365)</f>
        <v>1.9605829615039073E-2</v>
      </c>
      <c r="H21" s="574">
        <v>0</v>
      </c>
      <c r="I21" s="567">
        <f t="shared" si="0"/>
        <v>0</v>
      </c>
      <c r="J21" s="543" t="s">
        <v>293</v>
      </c>
      <c r="K21" s="611"/>
      <c r="L21" s="211"/>
      <c r="M21" s="107"/>
      <c r="N21" s="107"/>
    </row>
    <row r="22" spans="2:14" ht="15" x14ac:dyDescent="0.25">
      <c r="B22" s="247"/>
      <c r="C22" s="572" t="s">
        <v>333</v>
      </c>
      <c r="D22" s="568" t="s">
        <v>334</v>
      </c>
      <c r="E22" s="823" t="s">
        <v>335</v>
      </c>
      <c r="F22" s="823"/>
      <c r="G22" s="360">
        <f>((1+$G$11)^(76/365)-1)/(1+$G$11)^(163/365)</f>
        <v>1.3950861359939302E-2</v>
      </c>
      <c r="H22" s="573">
        <v>0</v>
      </c>
      <c r="I22" s="570">
        <f t="shared" si="0"/>
        <v>0</v>
      </c>
      <c r="J22" s="543" t="s">
        <v>293</v>
      </c>
      <c r="K22" s="611"/>
      <c r="L22" s="211"/>
    </row>
    <row r="23" spans="2:14" ht="15" x14ac:dyDescent="0.25">
      <c r="B23" s="247"/>
      <c r="C23" s="563" t="s">
        <v>336</v>
      </c>
      <c r="D23" s="564" t="s">
        <v>337</v>
      </c>
      <c r="E23" s="822" t="s">
        <v>338</v>
      </c>
      <c r="F23" s="822"/>
      <c r="G23" s="361">
        <f>((1+$G$11)^(45.5/365)-1)/(1+$G$11)^(163/365)</f>
        <v>8.3282131225029601E-3</v>
      </c>
      <c r="H23" s="574">
        <v>0</v>
      </c>
      <c r="I23" s="567">
        <f t="shared" si="0"/>
        <v>0</v>
      </c>
      <c r="J23" s="543" t="s">
        <v>293</v>
      </c>
      <c r="K23" s="611"/>
      <c r="L23" s="211"/>
    </row>
    <row r="24" spans="2:14" ht="15" x14ac:dyDescent="0.25">
      <c r="B24" s="247"/>
      <c r="C24" s="572" t="s">
        <v>339</v>
      </c>
      <c r="D24" s="568" t="s">
        <v>340</v>
      </c>
      <c r="E24" s="823" t="s">
        <v>341</v>
      </c>
      <c r="F24" s="823"/>
      <c r="G24" s="360">
        <f>((1+$G$11)^(15/365)-1)/(1+$G$11)^(163/365)</f>
        <v>2.737700183118467E-3</v>
      </c>
      <c r="H24" s="573">
        <v>0</v>
      </c>
      <c r="I24" s="570">
        <f t="shared" si="0"/>
        <v>0</v>
      </c>
      <c r="J24" s="543" t="s">
        <v>293</v>
      </c>
      <c r="K24" s="611"/>
      <c r="L24" s="211"/>
    </row>
    <row r="25" spans="2:14" ht="23.25" customHeight="1" x14ac:dyDescent="0.25">
      <c r="B25" s="247"/>
      <c r="C25" s="580" t="s">
        <v>342</v>
      </c>
      <c r="D25" s="581" t="s">
        <v>343</v>
      </c>
      <c r="E25" s="824" t="s">
        <v>344</v>
      </c>
      <c r="F25" s="824"/>
      <c r="G25" s="582" t="s">
        <v>293</v>
      </c>
      <c r="H25" s="575"/>
      <c r="I25" s="576">
        <f>SUM(I11:I24)</f>
        <v>377.49797277220642</v>
      </c>
      <c r="J25" s="544" t="s">
        <v>293</v>
      </c>
      <c r="K25" s="611"/>
      <c r="L25" s="211"/>
    </row>
    <row r="26" spans="2:14" ht="15" x14ac:dyDescent="0.25">
      <c r="B26" s="247"/>
      <c r="C26" s="563" t="s">
        <v>345</v>
      </c>
      <c r="D26" s="564" t="s">
        <v>345</v>
      </c>
      <c r="E26" s="822" t="s">
        <v>346</v>
      </c>
      <c r="F26" s="822"/>
      <c r="G26" s="577">
        <f>1/(1+$G$11)^(163/365)</f>
        <v>0.96983255185560791</v>
      </c>
      <c r="H26" s="545">
        <v>-99.02948560010546</v>
      </c>
      <c r="I26" s="550">
        <f>H26*G26</f>
        <v>-96.042018728498448</v>
      </c>
      <c r="J26" s="543" t="s">
        <v>293</v>
      </c>
      <c r="K26" s="611"/>
      <c r="L26" s="211"/>
    </row>
    <row r="27" spans="2:14" ht="15" x14ac:dyDescent="0.25">
      <c r="B27" s="247"/>
      <c r="C27" s="568" t="s">
        <v>347</v>
      </c>
      <c r="D27" s="568" t="s">
        <v>348</v>
      </c>
      <c r="E27" s="823" t="s">
        <v>349</v>
      </c>
      <c r="F27" s="823"/>
      <c r="G27" s="360">
        <f>1/(1+$G$11)^(163/365)</f>
        <v>0.96983255185560791</v>
      </c>
      <c r="H27" s="573">
        <v>281.77054553183837</v>
      </c>
      <c r="I27" s="548">
        <f>H27*G27</f>
        <v>273.27024721088958</v>
      </c>
      <c r="J27" s="543" t="s">
        <v>293</v>
      </c>
      <c r="K27" s="611"/>
      <c r="L27" s="211"/>
    </row>
    <row r="28" spans="2:14" ht="15" x14ac:dyDescent="0.25">
      <c r="B28" s="247"/>
      <c r="C28" s="563" t="s">
        <v>350</v>
      </c>
      <c r="D28" s="564" t="s">
        <v>1053</v>
      </c>
      <c r="E28" s="822" t="s">
        <v>351</v>
      </c>
      <c r="F28" s="822"/>
      <c r="G28" s="577">
        <f>(1+$G$11)^(19/365)</f>
        <v>1.0035769657929015</v>
      </c>
      <c r="H28" s="574">
        <v>421.10482094415897</v>
      </c>
      <c r="I28" s="550">
        <f t="shared" ref="I28:I34" si="1">H28*G28</f>
        <v>422.61109848390214</v>
      </c>
      <c r="J28" s="543" t="s">
        <v>293</v>
      </c>
      <c r="K28" s="611"/>
      <c r="L28" s="211"/>
    </row>
    <row r="29" spans="2:14" ht="15" x14ac:dyDescent="0.25">
      <c r="B29" s="247"/>
      <c r="C29" s="572" t="s">
        <v>352</v>
      </c>
      <c r="D29" s="568" t="s">
        <v>353</v>
      </c>
      <c r="E29" s="823" t="s">
        <v>354</v>
      </c>
      <c r="F29" s="823"/>
      <c r="G29" s="360">
        <f>(1+$G$11)^(19/365)</f>
        <v>1.0035769657929015</v>
      </c>
      <c r="H29" s="546">
        <v>23.216791376761574</v>
      </c>
      <c r="I29" s="548">
        <f>H29*G29</f>
        <v>23.299837045337178</v>
      </c>
      <c r="J29" s="543" t="s">
        <v>293</v>
      </c>
      <c r="K29" s="611"/>
      <c r="L29" s="211"/>
    </row>
    <row r="30" spans="2:14" ht="15" x14ac:dyDescent="0.25">
      <c r="B30" s="247"/>
      <c r="C30" s="563" t="s">
        <v>355</v>
      </c>
      <c r="D30" s="564" t="s">
        <v>356</v>
      </c>
      <c r="E30" s="822" t="s">
        <v>357</v>
      </c>
      <c r="F30" s="822"/>
      <c r="G30" s="577">
        <f>(1+$G$11)^(19/365)</f>
        <v>1.0035769657929015</v>
      </c>
      <c r="H30" s="545">
        <v>3.1636214615279901</v>
      </c>
      <c r="I30" s="550">
        <f>H30*G30</f>
        <v>3.1749376272775645</v>
      </c>
      <c r="J30" s="543" t="s">
        <v>293</v>
      </c>
      <c r="K30" s="611"/>
      <c r="L30" s="211"/>
    </row>
    <row r="31" spans="2:14" ht="15" x14ac:dyDescent="0.25">
      <c r="B31" s="247"/>
      <c r="C31" s="572" t="s">
        <v>284</v>
      </c>
      <c r="D31" s="568" t="s">
        <v>358</v>
      </c>
      <c r="E31" s="823" t="s">
        <v>359</v>
      </c>
      <c r="F31" s="823"/>
      <c r="G31" s="360">
        <f>1/(1+$G$11)^(163/365)</f>
        <v>0.96983255185560791</v>
      </c>
      <c r="H31" s="546">
        <v>46.087171911700381</v>
      </c>
      <c r="I31" s="548">
        <f>H31*G31</f>
        <v>44.696839542932473</v>
      </c>
      <c r="J31" s="543" t="s">
        <v>293</v>
      </c>
      <c r="K31" s="611"/>
      <c r="L31" s="211"/>
    </row>
    <row r="32" spans="2:14" ht="15" x14ac:dyDescent="0.25">
      <c r="B32" s="247"/>
      <c r="C32" s="563" t="s">
        <v>360</v>
      </c>
      <c r="D32" s="564" t="s">
        <v>360</v>
      </c>
      <c r="E32" s="822" t="s">
        <v>361</v>
      </c>
      <c r="F32" s="822"/>
      <c r="G32" s="577">
        <f>(1+$G$11)^(19/365)</f>
        <v>1.0035769657929015</v>
      </c>
      <c r="H32" s="545">
        <v>22.283521472515201</v>
      </c>
      <c r="I32" s="550">
        <f t="shared" si="1"/>
        <v>22.363228866567773</v>
      </c>
      <c r="J32" s="543" t="s">
        <v>293</v>
      </c>
      <c r="K32" s="611"/>
      <c r="L32" s="211"/>
    </row>
    <row r="33" spans="2:12" ht="15" x14ac:dyDescent="0.25">
      <c r="B33" s="247"/>
      <c r="C33" s="572" t="s">
        <v>362</v>
      </c>
      <c r="D33" s="568" t="s">
        <v>362</v>
      </c>
      <c r="E33" s="823" t="s">
        <v>363</v>
      </c>
      <c r="F33" s="823"/>
      <c r="G33" s="360">
        <f>(1+$G$11)^(19/365)</f>
        <v>1.0035769657929015</v>
      </c>
      <c r="H33" s="546">
        <v>3.1710635100660625</v>
      </c>
      <c r="I33" s="548">
        <f t="shared" si="1"/>
        <v>3.1824062957686867</v>
      </c>
      <c r="J33" s="543" t="s">
        <v>293</v>
      </c>
      <c r="K33" s="611"/>
      <c r="L33" s="211"/>
    </row>
    <row r="34" spans="2:12" ht="15" x14ac:dyDescent="0.25">
      <c r="B34" s="247"/>
      <c r="C34" s="563" t="s">
        <v>364</v>
      </c>
      <c r="D34" s="564" t="s">
        <v>364</v>
      </c>
      <c r="E34" s="822" t="s">
        <v>365</v>
      </c>
      <c r="F34" s="822"/>
      <c r="G34" s="578">
        <f>(1+$G$11)^(19/365)</f>
        <v>1.0035769657929015</v>
      </c>
      <c r="H34" s="545">
        <v>1.9379999999999999</v>
      </c>
      <c r="I34" s="550">
        <f t="shared" si="1"/>
        <v>1.9449321597066429</v>
      </c>
      <c r="J34" s="543" t="s">
        <v>293</v>
      </c>
      <c r="K34" s="611"/>
      <c r="L34" s="211"/>
    </row>
    <row r="35" spans="2:12" ht="23.25" customHeight="1" thickBot="1" x14ac:dyDescent="0.3">
      <c r="B35" s="247"/>
      <c r="C35" s="31" t="s">
        <v>366</v>
      </c>
      <c r="D35" s="31" t="s">
        <v>367</v>
      </c>
      <c r="E35" s="825" t="s">
        <v>344</v>
      </c>
      <c r="F35" s="825"/>
      <c r="G35" s="555" t="s">
        <v>293</v>
      </c>
      <c r="H35" s="555" t="s">
        <v>293</v>
      </c>
      <c r="I35" s="560">
        <f>+I25+SUM(I26:I34)</f>
        <v>1075.9994812760901</v>
      </c>
      <c r="J35" s="543" t="s">
        <v>293</v>
      </c>
      <c r="K35" s="611"/>
      <c r="L35" s="878"/>
    </row>
    <row r="36" spans="2:12" ht="23.25" customHeight="1" x14ac:dyDescent="0.2">
      <c r="B36" s="105"/>
      <c r="K36" s="611"/>
    </row>
    <row r="37" spans="2:12" ht="16.5" customHeight="1" x14ac:dyDescent="0.25">
      <c r="B37" s="491"/>
      <c r="C37" s="250"/>
      <c r="D37" s="250"/>
      <c r="E37" s="250"/>
      <c r="F37" s="250"/>
      <c r="G37" s="250"/>
      <c r="H37" s="250"/>
      <c r="I37" s="250"/>
      <c r="J37" s="250"/>
      <c r="K37" s="251"/>
    </row>
    <row r="38" spans="2:12" ht="16.5" customHeight="1" x14ac:dyDescent="0.2">
      <c r="B38" s="260" t="s">
        <v>368</v>
      </c>
      <c r="C38" s="204"/>
      <c r="D38" s="204"/>
      <c r="E38" s="204"/>
      <c r="F38" s="204"/>
      <c r="G38" s="204"/>
      <c r="H38" s="204"/>
      <c r="I38" s="337"/>
      <c r="J38" s="337"/>
      <c r="K38" s="616"/>
    </row>
    <row r="39" spans="2:12" ht="53.25" customHeight="1" x14ac:dyDescent="0.2">
      <c r="B39" s="1155" t="s">
        <v>369</v>
      </c>
      <c r="C39" s="1156"/>
      <c r="D39" s="1156"/>
      <c r="E39" s="1156"/>
      <c r="F39" s="1156"/>
      <c r="G39" s="1156"/>
      <c r="H39" s="1156"/>
      <c r="I39" s="1156"/>
      <c r="J39" s="1156"/>
      <c r="K39" s="1157"/>
    </row>
    <row r="40" spans="2:12" ht="16.5" customHeight="1" x14ac:dyDescent="0.2">
      <c r="B40" s="1135" t="s">
        <v>370</v>
      </c>
      <c r="C40" s="1136"/>
      <c r="D40" s="1136"/>
      <c r="E40" s="1136"/>
      <c r="F40" s="1136"/>
      <c r="G40" s="1136"/>
      <c r="H40" s="1136"/>
      <c r="I40" s="1136"/>
      <c r="J40" s="1136"/>
      <c r="K40" s="1137"/>
    </row>
    <row r="41" spans="2:12" ht="12" customHeight="1" x14ac:dyDescent="0.2">
      <c r="B41" s="374"/>
      <c r="C41" s="347"/>
      <c r="D41" s="347"/>
      <c r="E41" s="347"/>
      <c r="F41" s="347"/>
      <c r="G41" s="347"/>
      <c r="H41" s="347"/>
      <c r="I41" s="347"/>
      <c r="J41" s="347"/>
      <c r="K41" s="348"/>
      <c r="L41" s="347"/>
    </row>
    <row r="42" spans="2:12" ht="16.5" customHeight="1" x14ac:dyDescent="0.25">
      <c r="B42" s="376" t="s">
        <v>371</v>
      </c>
      <c r="C42" s="1"/>
      <c r="D42" s="1"/>
      <c r="E42" s="1"/>
      <c r="F42" s="1"/>
      <c r="G42" s="1"/>
      <c r="H42" s="1"/>
      <c r="I42" s="1"/>
      <c r="J42" s="1"/>
      <c r="K42" s="16"/>
      <c r="L42" s="1"/>
    </row>
    <row r="43" spans="2:12" ht="15" x14ac:dyDescent="0.25">
      <c r="B43" s="20" t="s">
        <v>372</v>
      </c>
      <c r="C43" s="21"/>
      <c r="D43" s="1"/>
      <c r="E43" s="1"/>
      <c r="F43" s="1"/>
      <c r="G43" s="1"/>
      <c r="H43" s="1"/>
      <c r="I43" s="1"/>
      <c r="J43" s="1"/>
      <c r="K43" s="16"/>
      <c r="L43" s="851"/>
    </row>
    <row r="44" spans="2:12" ht="57" customHeight="1" x14ac:dyDescent="0.25">
      <c r="B44" s="795"/>
      <c r="C44" s="806" t="s">
        <v>373</v>
      </c>
      <c r="D44" s="807" t="s">
        <v>374</v>
      </c>
      <c r="E44" s="808" t="s">
        <v>375</v>
      </c>
      <c r="F44" s="808"/>
      <c r="G44" s="808" t="s">
        <v>298</v>
      </c>
      <c r="H44" s="809" t="s">
        <v>299</v>
      </c>
      <c r="I44" s="536" t="s">
        <v>376</v>
      </c>
      <c r="J44" s="617"/>
      <c r="K44" s="16"/>
      <c r="L44" s="851"/>
    </row>
    <row r="45" spans="2:12" ht="15" x14ac:dyDescent="0.25">
      <c r="B45" s="24" t="s">
        <v>377</v>
      </c>
      <c r="C45" s="43" t="s">
        <v>261</v>
      </c>
      <c r="D45" s="200" t="s">
        <v>262</v>
      </c>
      <c r="E45" s="826"/>
      <c r="F45" s="826"/>
      <c r="G45" s="814" t="s">
        <v>264</v>
      </c>
      <c r="H45" s="815" t="s">
        <v>263</v>
      </c>
      <c r="I45" s="816" t="s">
        <v>265</v>
      </c>
      <c r="J45" s="1"/>
      <c r="K45" s="16"/>
      <c r="L45" s="851"/>
    </row>
    <row r="46" spans="2:12" ht="15" customHeight="1" x14ac:dyDescent="0.25">
      <c r="B46" s="12"/>
      <c r="C46" s="516" t="s">
        <v>378</v>
      </c>
      <c r="D46" s="25" t="s">
        <v>379</v>
      </c>
      <c r="E46" s="827" t="s">
        <v>303</v>
      </c>
      <c r="F46" s="827"/>
      <c r="G46" s="852">
        <f>((1+'1_Inputs'!D11)*(1+'1_Inputs'!I24)/(1+'1_Inputs'!I22))-1</f>
        <v>8.2795664749070186E-2</v>
      </c>
      <c r="H46" s="538"/>
      <c r="I46" s="539"/>
      <c r="J46" s="371"/>
      <c r="K46" s="16"/>
      <c r="L46" s="853"/>
    </row>
    <row r="47" spans="2:12" ht="17.100000000000001" customHeight="1" x14ac:dyDescent="0.25">
      <c r="B47" s="12"/>
      <c r="C47" s="185" t="s">
        <v>304</v>
      </c>
      <c r="D47" s="253" t="s">
        <v>380</v>
      </c>
      <c r="E47" s="828" t="s">
        <v>232</v>
      </c>
      <c r="F47" s="828"/>
      <c r="G47" s="360">
        <f>+G46</f>
        <v>8.2795664749070186E-2</v>
      </c>
      <c r="H47" s="547">
        <f>'4_RAB'!E10</f>
        <v>5224.3984489002996</v>
      </c>
      <c r="I47" s="548">
        <f>G47*H47</f>
        <v>432.55754249071151</v>
      </c>
      <c r="J47" s="371"/>
      <c r="K47" s="16"/>
      <c r="L47" s="1"/>
    </row>
    <row r="48" spans="2:12" ht="15" x14ac:dyDescent="0.25">
      <c r="B48" s="12"/>
      <c r="C48" s="12" t="s">
        <v>306</v>
      </c>
      <c r="D48" s="25" t="s">
        <v>307</v>
      </c>
      <c r="E48" s="827" t="s">
        <v>308</v>
      </c>
      <c r="F48" s="827"/>
      <c r="G48" s="361">
        <f>(1+$G$46)^(349.5/365)-1</f>
        <v>7.9144159964223748E-2</v>
      </c>
      <c r="H48" s="549">
        <f>'4_RAB'!E13</f>
        <v>65.078073169733315</v>
      </c>
      <c r="I48" s="550">
        <f t="shared" ref="I48:I62" si="2">G48*H48</f>
        <v>5.1505494331088313</v>
      </c>
      <c r="J48" s="371"/>
      <c r="K48" s="16"/>
      <c r="L48" s="1"/>
    </row>
    <row r="49" spans="2:12" ht="15" x14ac:dyDescent="0.25">
      <c r="B49" s="12"/>
      <c r="C49" s="185" t="s">
        <v>309</v>
      </c>
      <c r="D49" s="253" t="s">
        <v>310</v>
      </c>
      <c r="E49" s="828" t="s">
        <v>311</v>
      </c>
      <c r="F49" s="828"/>
      <c r="G49" s="360">
        <f>(1+$G$46)^(318.5/365)-1</f>
        <v>7.187805070587272E-2</v>
      </c>
      <c r="H49" s="547">
        <f>'4_RAB'!E14</f>
        <v>44.57086840063333</v>
      </c>
      <c r="I49" s="548">
        <f t="shared" si="2"/>
        <v>3.2036671389055025</v>
      </c>
      <c r="J49" s="371"/>
      <c r="K49" s="16"/>
      <c r="L49" s="1"/>
    </row>
    <row r="50" spans="2:12" ht="15" x14ac:dyDescent="0.25">
      <c r="B50" s="12"/>
      <c r="C50" s="12" t="s">
        <v>312</v>
      </c>
      <c r="D50" s="25" t="s">
        <v>313</v>
      </c>
      <c r="E50" s="827" t="s">
        <v>314</v>
      </c>
      <c r="F50" s="827"/>
      <c r="G50" s="361">
        <f>(1+$G$46)^(288/365)-1</f>
        <v>6.4776885474743029E-2</v>
      </c>
      <c r="H50" s="549">
        <f>'4_RAB'!E15</f>
        <v>41.622540748933346</v>
      </c>
      <c r="I50" s="550">
        <f t="shared" si="2"/>
        <v>2.6961785552614805</v>
      </c>
      <c r="J50" s="371"/>
      <c r="K50" s="16"/>
      <c r="L50" s="1"/>
    </row>
    <row r="51" spans="2:12" ht="15" x14ac:dyDescent="0.25">
      <c r="B51" s="12"/>
      <c r="C51" s="185" t="s">
        <v>315</v>
      </c>
      <c r="D51" s="253" t="s">
        <v>316</v>
      </c>
      <c r="E51" s="828" t="s">
        <v>317</v>
      </c>
      <c r="F51" s="828"/>
      <c r="G51" s="360">
        <f>(1+$G$46)^(257.5/365)-1</f>
        <v>5.7722765285357136E-2</v>
      </c>
      <c r="H51" s="547">
        <f>'4_RAB'!E16</f>
        <v>21.583370217933329</v>
      </c>
      <c r="I51" s="548">
        <f t="shared" si="2"/>
        <v>1.2458518131567331</v>
      </c>
      <c r="J51" s="371"/>
      <c r="K51" s="16"/>
      <c r="L51" s="1"/>
    </row>
    <row r="52" spans="2:12" ht="15" x14ac:dyDescent="0.25">
      <c r="B52" s="12"/>
      <c r="C52" s="12" t="s">
        <v>318</v>
      </c>
      <c r="D52" s="25" t="s">
        <v>319</v>
      </c>
      <c r="E52" s="827" t="s">
        <v>320</v>
      </c>
      <c r="F52" s="827"/>
      <c r="G52" s="361">
        <f>(1+$G$46)^(227/365)-1</f>
        <v>5.0715378465492122E-2</v>
      </c>
      <c r="H52" s="549">
        <f>'4_RAB'!E17</f>
        <v>40.302681886233351</v>
      </c>
      <c r="I52" s="550">
        <f t="shared" si="2"/>
        <v>2.0439657650346583</v>
      </c>
      <c r="J52" s="371"/>
      <c r="K52" s="16"/>
      <c r="L52" s="1"/>
    </row>
    <row r="53" spans="2:12" ht="15" x14ac:dyDescent="0.25">
      <c r="B53" s="12"/>
      <c r="C53" s="185" t="s">
        <v>321</v>
      </c>
      <c r="D53" s="253" t="s">
        <v>322</v>
      </c>
      <c r="E53" s="828" t="s">
        <v>323</v>
      </c>
      <c r="F53" s="828"/>
      <c r="G53" s="360">
        <f>(1+$G$46)^(196.5/365)-1</f>
        <v>4.375441540774605E-2</v>
      </c>
      <c r="H53" s="547">
        <f>'4_RAB'!E18</f>
        <v>27.345923202533328</v>
      </c>
      <c r="I53" s="548">
        <f t="shared" si="2"/>
        <v>1.1965048835119645</v>
      </c>
      <c r="J53" s="371"/>
      <c r="K53" s="16"/>
      <c r="L53" s="1"/>
    </row>
    <row r="54" spans="2:12" ht="15" x14ac:dyDescent="0.25">
      <c r="B54" s="12"/>
      <c r="C54" s="12" t="s">
        <v>324</v>
      </c>
      <c r="D54" s="25" t="s">
        <v>325</v>
      </c>
      <c r="E54" s="827" t="s">
        <v>326</v>
      </c>
      <c r="F54" s="827"/>
      <c r="G54" s="361">
        <f>(1+$G$46)^(165.5/365)-1</f>
        <v>3.6726592895607979E-2</v>
      </c>
      <c r="H54" s="549">
        <f>'4_RAB'!E19</f>
        <v>29.306612447033334</v>
      </c>
      <c r="I54" s="550">
        <f t="shared" si="2"/>
        <v>1.0763320244915509</v>
      </c>
      <c r="J54" s="371"/>
      <c r="K54" s="16"/>
      <c r="L54" s="1"/>
    </row>
    <row r="55" spans="2:12" ht="15" x14ac:dyDescent="0.25">
      <c r="B55" s="12"/>
      <c r="C55" s="185" t="s">
        <v>327</v>
      </c>
      <c r="D55" s="253" t="s">
        <v>328</v>
      </c>
      <c r="E55" s="828" t="s">
        <v>329</v>
      </c>
      <c r="F55" s="828"/>
      <c r="G55" s="360">
        <f>(1+$G$46)^(136/365)-1</f>
        <v>3.0082771820233667E-2</v>
      </c>
      <c r="H55" s="547">
        <f>'4_RAB'!E20</f>
        <v>14.317841660333332</v>
      </c>
      <c r="I55" s="548">
        <f t="shared" si="2"/>
        <v>0.43072036362604321</v>
      </c>
      <c r="J55" s="371"/>
      <c r="K55" s="16"/>
      <c r="L55" s="1"/>
    </row>
    <row r="56" spans="2:12" ht="15" x14ac:dyDescent="0.25">
      <c r="B56" s="12"/>
      <c r="C56" s="12" t="s">
        <v>330</v>
      </c>
      <c r="D56" s="25" t="s">
        <v>331</v>
      </c>
      <c r="E56" s="827" t="s">
        <v>332</v>
      </c>
      <c r="F56" s="827"/>
      <c r="G56" s="361">
        <f>(1+$G$46)^(106.5/365)-1</f>
        <v>2.3481527407582137E-2</v>
      </c>
      <c r="H56" s="549">
        <f>'4_RAB'!E21</f>
        <v>40.257494645233329</v>
      </c>
      <c r="I56" s="550">
        <f t="shared" si="2"/>
        <v>0.94530746387263753</v>
      </c>
      <c r="J56" s="371"/>
      <c r="K56" s="16"/>
      <c r="L56" s="1"/>
    </row>
    <row r="57" spans="2:12" ht="15" x14ac:dyDescent="0.25">
      <c r="B57" s="12"/>
      <c r="C57" s="185" t="s">
        <v>333</v>
      </c>
      <c r="D57" s="253" t="s">
        <v>334</v>
      </c>
      <c r="E57" s="828" t="s">
        <v>335</v>
      </c>
      <c r="F57" s="828"/>
      <c r="G57" s="360">
        <f>(1+$G$46)^(76/365)-1</f>
        <v>1.6700987930778455E-2</v>
      </c>
      <c r="H57" s="547">
        <f>'4_RAB'!E22</f>
        <v>33.943527763933339</v>
      </c>
      <c r="I57" s="548">
        <f t="shared" si="2"/>
        <v>0.56689044751349404</v>
      </c>
      <c r="J57" s="371"/>
      <c r="K57" s="16"/>
      <c r="L57" s="1"/>
    </row>
    <row r="58" spans="2:12" ht="15" x14ac:dyDescent="0.25">
      <c r="B58" s="12"/>
      <c r="C58" s="12" t="s">
        <v>336</v>
      </c>
      <c r="D58" s="25" t="s">
        <v>337</v>
      </c>
      <c r="E58" s="827" t="s">
        <v>338</v>
      </c>
      <c r="F58" s="827"/>
      <c r="G58" s="361">
        <f>(1+$G$46)^(45.5/365)-1</f>
        <v>9.9653693581294167E-3</v>
      </c>
      <c r="H58" s="549">
        <f>'4_RAB'!E23</f>
        <v>49.099227584833329</v>
      </c>
      <c r="I58" s="550">
        <f t="shared" si="2"/>
        <v>0.48929193808172067</v>
      </c>
      <c r="J58" s="371"/>
      <c r="K58" s="16"/>
      <c r="L58" s="1"/>
    </row>
    <row r="59" spans="2:12" ht="15" x14ac:dyDescent="0.25">
      <c r="B59" s="12"/>
      <c r="C59" s="185" t="s">
        <v>339</v>
      </c>
      <c r="D59" s="253" t="s">
        <v>340</v>
      </c>
      <c r="E59" s="828" t="s">
        <v>341</v>
      </c>
      <c r="F59" s="828"/>
      <c r="G59" s="360">
        <f>(1+$G$46)^(15/365)-1</f>
        <v>3.2743740897702711E-3</v>
      </c>
      <c r="H59" s="547">
        <f>'4_RAB'!E24</f>
        <v>75.125253345583431</v>
      </c>
      <c r="I59" s="548">
        <f t="shared" si="2"/>
        <v>0.24598818304220577</v>
      </c>
      <c r="J59" s="371"/>
      <c r="K59" s="16"/>
      <c r="L59" s="1"/>
    </row>
    <row r="60" spans="2:12" ht="15" customHeight="1" x14ac:dyDescent="0.25">
      <c r="B60" s="12"/>
      <c r="C60" s="12" t="s">
        <v>381</v>
      </c>
      <c r="D60" s="25" t="s">
        <v>382</v>
      </c>
      <c r="E60" s="827" t="s">
        <v>344</v>
      </c>
      <c r="F60" s="827"/>
      <c r="G60" s="361">
        <f>1-(1+$G$46)^(182/365)</f>
        <v>-4.0461297400354423E-2</v>
      </c>
      <c r="H60" s="549">
        <v>0</v>
      </c>
      <c r="I60" s="550">
        <f t="shared" si="2"/>
        <v>0</v>
      </c>
      <c r="J60" s="371"/>
      <c r="K60" s="16"/>
      <c r="L60" s="1"/>
    </row>
    <row r="61" spans="2:12" ht="15" customHeight="1" x14ac:dyDescent="0.25">
      <c r="B61" s="12"/>
      <c r="C61" s="185" t="s">
        <v>383</v>
      </c>
      <c r="D61" s="253" t="s">
        <v>384</v>
      </c>
      <c r="E61" s="828" t="s">
        <v>385</v>
      </c>
      <c r="F61" s="828"/>
      <c r="G61" s="360">
        <f>(1+$G$46)^(182/365)-1</f>
        <v>4.0461297400354423E-2</v>
      </c>
      <c r="H61" s="547">
        <v>0</v>
      </c>
      <c r="I61" s="548">
        <f t="shared" si="2"/>
        <v>0</v>
      </c>
      <c r="J61" s="371"/>
      <c r="K61" s="16"/>
      <c r="L61" s="1"/>
    </row>
    <row r="62" spans="2:12" ht="15" customHeight="1" x14ac:dyDescent="0.25">
      <c r="B62" s="12"/>
      <c r="C62" s="12" t="s">
        <v>386</v>
      </c>
      <c r="D62" s="25" t="s">
        <v>387</v>
      </c>
      <c r="E62" s="827" t="s">
        <v>351</v>
      </c>
      <c r="F62" s="827"/>
      <c r="G62" s="361">
        <f>1-(1+$G$46)^(182/365)</f>
        <v>-4.0461297400354423E-2</v>
      </c>
      <c r="H62" s="551">
        <f>-'4_RAB'!E27</f>
        <v>6.3980671351999607</v>
      </c>
      <c r="I62" s="550">
        <f t="shared" si="2"/>
        <v>-0.25887409714475923</v>
      </c>
      <c r="J62" s="371"/>
      <c r="K62" s="16"/>
      <c r="L62" s="1"/>
    </row>
    <row r="63" spans="2:12" ht="15" customHeight="1" x14ac:dyDescent="0.25">
      <c r="B63" s="12"/>
      <c r="C63" s="27" t="s">
        <v>388</v>
      </c>
      <c r="D63" s="28" t="s">
        <v>389</v>
      </c>
      <c r="E63" s="77" t="s">
        <v>354</v>
      </c>
      <c r="F63" s="77"/>
      <c r="G63" s="362"/>
      <c r="H63" s="552"/>
      <c r="I63" s="78">
        <f>+SUM(I47:I62)</f>
        <v>451.58991640317362</v>
      </c>
      <c r="J63" s="371"/>
      <c r="K63" s="16"/>
      <c r="L63" s="1"/>
    </row>
    <row r="64" spans="2:12" ht="15" customHeight="1" x14ac:dyDescent="0.25">
      <c r="B64" s="12"/>
      <c r="C64" s="12" t="s">
        <v>391</v>
      </c>
      <c r="D64" s="25" t="s">
        <v>392</v>
      </c>
      <c r="E64" s="827" t="s">
        <v>357</v>
      </c>
      <c r="F64" s="827"/>
      <c r="G64" s="361">
        <f>(1+$G$46)^(163/365)</f>
        <v>1.0361618992176034</v>
      </c>
      <c r="H64" s="549">
        <f>'2_Revenue'!D33-'2_Revenue'!D32</f>
        <v>974.99557391000008</v>
      </c>
      <c r="I64" s="550">
        <f>+H64*G64</f>
        <v>1010.2532655913428</v>
      </c>
      <c r="J64" s="371"/>
      <c r="K64" s="16"/>
      <c r="L64" s="1"/>
    </row>
    <row r="65" spans="2:12" ht="15" customHeight="1" x14ac:dyDescent="0.25">
      <c r="B65" s="12"/>
      <c r="C65" s="185" t="s">
        <v>393</v>
      </c>
      <c r="D65" s="253" t="s">
        <v>394</v>
      </c>
      <c r="E65" s="828" t="s">
        <v>361</v>
      </c>
      <c r="F65" s="828"/>
      <c r="G65" s="360">
        <f>(1+$G$46)^(163/365)</f>
        <v>1.0361618992176034</v>
      </c>
      <c r="H65" s="547">
        <v>0</v>
      </c>
      <c r="I65" s="548">
        <f>+H65*G65</f>
        <v>0</v>
      </c>
      <c r="J65" s="371"/>
      <c r="K65" s="16"/>
      <c r="L65" s="1"/>
    </row>
    <row r="66" spans="2:12" ht="15" customHeight="1" x14ac:dyDescent="0.25">
      <c r="B66" s="12"/>
      <c r="C66" s="12" t="s">
        <v>285</v>
      </c>
      <c r="D66" s="25" t="s">
        <v>285</v>
      </c>
      <c r="E66" s="827" t="s">
        <v>363</v>
      </c>
      <c r="F66" s="827"/>
      <c r="G66" s="361">
        <f>(1+$G$46)^(182/365)</f>
        <v>1.0404612974003544</v>
      </c>
      <c r="H66" s="549">
        <f>'2_Revenue'!D32</f>
        <v>6.7993140420306482</v>
      </c>
      <c r="I66" s="550">
        <f>+H66*G66</f>
        <v>7.0744231096036563</v>
      </c>
      <c r="J66" s="371"/>
      <c r="K66" s="16"/>
      <c r="L66" s="1"/>
    </row>
    <row r="67" spans="2:12" ht="15" customHeight="1" x14ac:dyDescent="0.25">
      <c r="B67" s="12"/>
      <c r="C67" s="185" t="s">
        <v>395</v>
      </c>
      <c r="D67" s="253" t="s">
        <v>396</v>
      </c>
      <c r="E67" s="828" t="s">
        <v>365</v>
      </c>
      <c r="F67" s="828"/>
      <c r="G67" s="360">
        <v>1</v>
      </c>
      <c r="H67" s="547">
        <f>'4_RAB'!E82</f>
        <v>204.09800000000001</v>
      </c>
      <c r="I67" s="548">
        <f>+H67*G67</f>
        <v>204.09800000000001</v>
      </c>
      <c r="J67" s="371"/>
      <c r="K67" s="16"/>
      <c r="L67" s="1"/>
    </row>
    <row r="68" spans="2:12" ht="15" customHeight="1" x14ac:dyDescent="0.25">
      <c r="B68" s="12"/>
      <c r="C68" s="12" t="s">
        <v>397</v>
      </c>
      <c r="D68" s="25" t="s">
        <v>398</v>
      </c>
      <c r="E68" s="827" t="s">
        <v>399</v>
      </c>
      <c r="F68" s="827"/>
      <c r="G68" s="361">
        <f>(1+$G$46)^(182/365)</f>
        <v>1.0404612974003544</v>
      </c>
      <c r="H68" s="549">
        <f>-'4_RAB'!E41</f>
        <v>-5.6609995651999601</v>
      </c>
      <c r="I68" s="550">
        <f>+H68*G68</f>
        <v>-5.8900509521907924</v>
      </c>
      <c r="J68" s="371"/>
      <c r="K68" s="16"/>
      <c r="L68" s="1"/>
    </row>
    <row r="69" spans="2:12" ht="15" customHeight="1" x14ac:dyDescent="0.25">
      <c r="B69" s="12"/>
      <c r="C69" s="27" t="s">
        <v>400</v>
      </c>
      <c r="D69" s="28" t="s">
        <v>401</v>
      </c>
      <c r="E69" s="77" t="s">
        <v>402</v>
      </c>
      <c r="F69" s="77"/>
      <c r="G69" s="362"/>
      <c r="H69" s="552"/>
      <c r="I69" s="78">
        <f>SUM(I64:I68)</f>
        <v>1215.5356377487556</v>
      </c>
      <c r="J69" s="371"/>
      <c r="K69" s="16"/>
      <c r="L69" s="1"/>
    </row>
    <row r="70" spans="2:12" ht="15" customHeight="1" x14ac:dyDescent="0.25">
      <c r="B70" s="12"/>
      <c r="C70" s="12" t="s">
        <v>350</v>
      </c>
      <c r="D70" s="25" t="s">
        <v>403</v>
      </c>
      <c r="E70" s="827" t="s">
        <v>404</v>
      </c>
      <c r="F70" s="827"/>
      <c r="G70" s="361">
        <f>(1+$G$46)^(182/365)</f>
        <v>1.0404612974003544</v>
      </c>
      <c r="H70" s="549">
        <f>'9_Opex'!F17</f>
        <v>426.24009083042711</v>
      </c>
      <c r="I70" s="550">
        <f>H70*G70</f>
        <v>443.4863179094711</v>
      </c>
      <c r="J70" s="371"/>
      <c r="K70" s="16"/>
      <c r="L70" s="1"/>
    </row>
    <row r="71" spans="2:12" ht="15" customHeight="1" x14ac:dyDescent="0.25">
      <c r="B71" s="12"/>
      <c r="C71" s="185" t="s">
        <v>348</v>
      </c>
      <c r="D71" s="253" t="s">
        <v>405</v>
      </c>
      <c r="E71" s="828" t="s">
        <v>406</v>
      </c>
      <c r="F71" s="828"/>
      <c r="G71" s="360">
        <v>1</v>
      </c>
      <c r="H71" s="547">
        <f>+'4_RAB'!E55</f>
        <v>286.52867433972347</v>
      </c>
      <c r="I71" s="548">
        <f>+H71*G71</f>
        <v>286.52867433972347</v>
      </c>
      <c r="J71" s="371"/>
      <c r="K71" s="16"/>
      <c r="L71" s="1"/>
    </row>
    <row r="72" spans="2:12" ht="15" customHeight="1" x14ac:dyDescent="0.25">
      <c r="B72" s="12"/>
      <c r="C72" s="12" t="s">
        <v>407</v>
      </c>
      <c r="D72" s="25" t="s">
        <v>408</v>
      </c>
      <c r="E72" s="827" t="s">
        <v>409</v>
      </c>
      <c r="F72" s="827"/>
      <c r="G72" s="361">
        <f>(1+$G$46)^(182/365)</f>
        <v>1.0404612974003544</v>
      </c>
      <c r="H72" s="549">
        <f>+'12_Tax'!E35</f>
        <v>2.1628729130616811</v>
      </c>
      <c r="I72" s="550">
        <f>+H72*G72</f>
        <v>2.2503855572362408</v>
      </c>
      <c r="J72" s="371"/>
      <c r="K72" s="16"/>
      <c r="L72" s="1"/>
    </row>
    <row r="73" spans="2:12" ht="15" customHeight="1" x14ac:dyDescent="0.25">
      <c r="B73" s="12"/>
      <c r="C73" s="185" t="s">
        <v>360</v>
      </c>
      <c r="D73" s="253" t="s">
        <v>410</v>
      </c>
      <c r="E73" s="828" t="s">
        <v>411</v>
      </c>
      <c r="F73" s="828"/>
      <c r="G73" s="360">
        <f>(1+$G$46)^(182/365)</f>
        <v>1.0404612974003544</v>
      </c>
      <c r="H73" s="547">
        <f>+'11_Pass-Through&amp;Recoverables'!F17</f>
        <v>19.213789250000001</v>
      </c>
      <c r="I73" s="548">
        <f>+H73*G73</f>
        <v>19.991204091031985</v>
      </c>
      <c r="J73" s="371"/>
      <c r="K73" s="16"/>
      <c r="L73" s="1"/>
    </row>
    <row r="74" spans="2:12" ht="15" customHeight="1" x14ac:dyDescent="0.25">
      <c r="B74" s="12"/>
      <c r="C74" s="12" t="s">
        <v>362</v>
      </c>
      <c r="D74" s="25" t="s">
        <v>412</v>
      </c>
      <c r="E74" s="827" t="s">
        <v>411</v>
      </c>
      <c r="F74" s="827"/>
      <c r="G74" s="361">
        <f>(1+$G$46)^(182/365)</f>
        <v>1.0404612974003544</v>
      </c>
      <c r="H74" s="549">
        <f>'11_Pass-Through&amp;Recoverables'!F24-'11_Pass-Through&amp;Recoverables'!F18</f>
        <v>1.4697707300000005</v>
      </c>
      <c r="I74" s="550">
        <f>+H74*G74</f>
        <v>1.5292395606168665</v>
      </c>
      <c r="J74" s="371"/>
      <c r="K74" s="16"/>
      <c r="L74" s="1"/>
    </row>
    <row r="75" spans="2:12" ht="15" customHeight="1" x14ac:dyDescent="0.25">
      <c r="B75" s="12"/>
      <c r="C75" s="185" t="s">
        <v>364</v>
      </c>
      <c r="D75" s="253" t="s">
        <v>413</v>
      </c>
      <c r="E75" s="828" t="s">
        <v>411</v>
      </c>
      <c r="F75" s="828"/>
      <c r="G75" s="360">
        <f>(1+$G$46)^(182/365)</f>
        <v>1.0404612974003544</v>
      </c>
      <c r="H75" s="547">
        <f>'11_Pass-Through&amp;Recoverables'!F18</f>
        <v>3.1710635100660625</v>
      </c>
      <c r="I75" s="548">
        <f>+H75*G75</f>
        <v>3.2993688538222572</v>
      </c>
      <c r="J75" s="371"/>
      <c r="K75" s="16"/>
    </row>
    <row r="76" spans="2:12" ht="15" x14ac:dyDescent="0.25">
      <c r="B76" s="12"/>
      <c r="C76" s="27" t="s">
        <v>414</v>
      </c>
      <c r="D76" s="28" t="s">
        <v>415</v>
      </c>
      <c r="E76" s="77" t="s">
        <v>416</v>
      </c>
      <c r="F76" s="77"/>
      <c r="G76" s="362"/>
      <c r="H76" s="552"/>
      <c r="I76" s="78">
        <f>+I69-SUM(I70:I75)</f>
        <v>458.45044743685378</v>
      </c>
      <c r="J76" s="371"/>
      <c r="K76" s="805"/>
    </row>
    <row r="77" spans="2:12" ht="15" x14ac:dyDescent="0.25">
      <c r="B77" s="12"/>
      <c r="C77" s="12" t="s">
        <v>352</v>
      </c>
      <c r="D77" s="25" t="s">
        <v>353</v>
      </c>
      <c r="E77" s="827" t="s">
        <v>417</v>
      </c>
      <c r="F77" s="827"/>
      <c r="G77" s="361">
        <f>(1+$G$46)^(182/365)</f>
        <v>1.0404612974003544</v>
      </c>
      <c r="H77" s="551">
        <f>'12_Tax'!E18</f>
        <v>9.9362948475224968</v>
      </c>
      <c r="I77" s="550">
        <f>+H77*G77</f>
        <v>10.338330228405713</v>
      </c>
      <c r="J77" s="371"/>
      <c r="K77" s="832"/>
    </row>
    <row r="78" spans="2:12" ht="15" x14ac:dyDescent="0.25">
      <c r="B78" s="12"/>
      <c r="C78" s="27" t="s">
        <v>418</v>
      </c>
      <c r="D78" s="28" t="s">
        <v>419</v>
      </c>
      <c r="E78" s="77" t="s">
        <v>420</v>
      </c>
      <c r="F78" s="77"/>
      <c r="G78" s="362"/>
      <c r="H78" s="552"/>
      <c r="I78" s="78">
        <f>+I76-I77</f>
        <v>448.11211720844807</v>
      </c>
      <c r="J78" s="371"/>
      <c r="K78" s="832"/>
    </row>
    <row r="79" spans="2:12" ht="15.75" thickBot="1" x14ac:dyDescent="0.3">
      <c r="B79" s="12"/>
      <c r="C79" s="1"/>
      <c r="D79" s="1"/>
      <c r="E79" s="136"/>
      <c r="F79" s="136"/>
      <c r="G79" s="1"/>
      <c r="H79" s="618"/>
      <c r="I79" s="542"/>
      <c r="J79" s="371"/>
      <c r="K79" s="832"/>
    </row>
    <row r="80" spans="2:12" ht="15" customHeight="1" x14ac:dyDescent="0.25">
      <c r="B80" s="12"/>
      <c r="C80" s="29" t="s">
        <v>421</v>
      </c>
      <c r="D80" s="30" t="s">
        <v>422</v>
      </c>
      <c r="E80" s="829" t="s">
        <v>423</v>
      </c>
      <c r="F80" s="829"/>
      <c r="G80" s="583"/>
      <c r="H80" s="584"/>
      <c r="I80" s="553">
        <f>+I63-I78</f>
        <v>3.4777991947255487</v>
      </c>
      <c r="J80" s="371"/>
      <c r="K80" s="16"/>
    </row>
    <row r="81" spans="2:11" ht="15" x14ac:dyDescent="0.25">
      <c r="B81" s="12"/>
      <c r="C81" s="252" t="s">
        <v>424</v>
      </c>
      <c r="D81" s="25" t="s">
        <v>425</v>
      </c>
      <c r="E81" s="830" t="s">
        <v>417</v>
      </c>
      <c r="F81" s="830"/>
      <c r="G81" s="585"/>
      <c r="H81" s="552"/>
      <c r="I81" s="554">
        <f>H31*0.72</f>
        <v>33.182763776424274</v>
      </c>
      <c r="J81" s="371"/>
      <c r="K81" s="16"/>
    </row>
    <row r="82" spans="2:11" ht="15.75" thickBot="1" x14ac:dyDescent="0.3">
      <c r="B82" s="12"/>
      <c r="C82" s="31" t="s">
        <v>426</v>
      </c>
      <c r="D82" s="32" t="s">
        <v>427</v>
      </c>
      <c r="E82" s="831" t="s">
        <v>428</v>
      </c>
      <c r="F82" s="831"/>
      <c r="G82" s="586"/>
      <c r="H82" s="587"/>
      <c r="I82" s="556">
        <f>+I80+I81</f>
        <v>36.660562971149822</v>
      </c>
      <c r="J82" s="371"/>
      <c r="K82" s="16"/>
    </row>
    <row r="83" spans="2:11" ht="15" x14ac:dyDescent="0.25">
      <c r="B83" s="17"/>
      <c r="C83" s="492"/>
      <c r="D83" s="492"/>
      <c r="E83" s="492"/>
      <c r="F83" s="103"/>
      <c r="G83" s="103"/>
      <c r="H83" s="103"/>
      <c r="I83" s="103"/>
      <c r="J83" s="493"/>
      <c r="K83" s="251"/>
    </row>
    <row r="84" spans="2:11" ht="18.75" x14ac:dyDescent="0.2">
      <c r="B84" s="1146" t="s">
        <v>429</v>
      </c>
      <c r="C84" s="1147"/>
      <c r="D84" s="1147"/>
      <c r="E84" s="1147"/>
      <c r="F84" s="1147"/>
      <c r="G84" s="1147"/>
      <c r="H84" s="1147"/>
      <c r="I84" s="1147"/>
      <c r="J84" s="1147"/>
      <c r="K84" s="1148"/>
    </row>
    <row r="85" spans="2:11" ht="15" x14ac:dyDescent="0.2">
      <c r="B85" s="1149" t="s">
        <v>430</v>
      </c>
      <c r="C85" s="1150"/>
      <c r="D85" s="1150"/>
      <c r="E85" s="1150"/>
      <c r="F85" s="1150"/>
      <c r="G85" s="1150"/>
      <c r="H85" s="1150"/>
      <c r="I85" s="1150"/>
      <c r="J85" s="1150"/>
      <c r="K85" s="1151"/>
    </row>
    <row r="86" spans="2:11" ht="15" x14ac:dyDescent="0.25">
      <c r="B86" s="247"/>
      <c r="C86" s="1"/>
      <c r="D86" s="1"/>
      <c r="E86" s="1"/>
      <c r="F86" s="1"/>
      <c r="G86" s="1"/>
      <c r="H86" s="1"/>
      <c r="I86" s="1"/>
      <c r="J86" s="1"/>
      <c r="K86" s="16"/>
    </row>
    <row r="87" spans="2:11" ht="15" x14ac:dyDescent="0.25">
      <c r="B87" s="12"/>
      <c r="C87" s="1143" t="s">
        <v>14</v>
      </c>
      <c r="D87" s="1144"/>
      <c r="E87" s="1144"/>
      <c r="F87" s="1144"/>
      <c r="G87" s="1144"/>
      <c r="H87" s="1144"/>
      <c r="I87" s="1145"/>
      <c r="K87" s="104"/>
    </row>
    <row r="88" spans="2:11" ht="15" x14ac:dyDescent="0.25">
      <c r="B88" s="17"/>
      <c r="C88" s="243"/>
      <c r="D88" s="243"/>
      <c r="E88" s="243"/>
      <c r="F88" s="243"/>
      <c r="G88" s="243"/>
      <c r="H88" s="243"/>
      <c r="I88" s="243"/>
      <c r="J88" s="243"/>
      <c r="K88" s="619"/>
    </row>
    <row r="89" spans="2:11" ht="15" x14ac:dyDescent="0.25">
      <c r="B89" s="620" t="str">
        <f>'Directors Certificate'!B57</f>
        <v>Transpower's Annual Compliance Statement for the year ending 30 June 2026</v>
      </c>
      <c r="C89" s="151"/>
      <c r="D89" s="151"/>
      <c r="E89" s="151"/>
      <c r="F89" s="151"/>
      <c r="G89" s="151"/>
      <c r="H89" s="151"/>
      <c r="I89" s="151"/>
      <c r="J89" s="151"/>
      <c r="K89" s="152"/>
    </row>
    <row r="97" spans="3:12" hidden="1" x14ac:dyDescent="0.2"/>
    <row r="98" spans="3:12" hidden="1" x14ac:dyDescent="0.2">
      <c r="C98" s="854"/>
      <c r="D98" s="854"/>
      <c r="E98" s="854"/>
      <c r="F98" s="854"/>
      <c r="G98" s="854"/>
      <c r="H98" s="854"/>
      <c r="I98" s="854"/>
      <c r="J98" s="854"/>
      <c r="K98" s="854"/>
      <c r="L98" s="875"/>
    </row>
    <row r="99" spans="3:12" hidden="1" x14ac:dyDescent="0.2">
      <c r="C99" s="854" t="s">
        <v>1093</v>
      </c>
      <c r="D99" s="854"/>
      <c r="E99" s="854"/>
      <c r="F99" s="854"/>
      <c r="G99" s="854"/>
      <c r="H99" s="854"/>
      <c r="I99" s="854"/>
      <c r="J99" s="854"/>
      <c r="K99" s="854"/>
      <c r="L99" s="854"/>
    </row>
    <row r="100" spans="3:12" hidden="1" x14ac:dyDescent="0.2">
      <c r="C100" s="854"/>
      <c r="D100" s="854"/>
      <c r="E100" s="855" t="s">
        <v>1095</v>
      </c>
      <c r="F100" s="854"/>
      <c r="G100" s="854"/>
      <c r="H100" s="855" t="s">
        <v>1096</v>
      </c>
      <c r="I100" s="855" t="s">
        <v>1097</v>
      </c>
      <c r="J100" s="854"/>
      <c r="K100" s="877" t="s">
        <v>1108</v>
      </c>
      <c r="L100" s="103"/>
    </row>
    <row r="101" spans="3:12" hidden="1" x14ac:dyDescent="0.2">
      <c r="C101" s="854" t="str">
        <f>C46</f>
        <v>WACC  updated for actual CPI</v>
      </c>
      <c r="D101" s="854"/>
      <c r="E101" s="855" t="s">
        <v>1104</v>
      </c>
      <c r="F101" s="855" t="s">
        <v>1105</v>
      </c>
      <c r="G101" s="856" t="s">
        <v>1104</v>
      </c>
      <c r="H101" s="855" t="s">
        <v>1105</v>
      </c>
      <c r="I101" s="855" t="s">
        <v>1105</v>
      </c>
      <c r="J101" s="854"/>
      <c r="K101" s="854"/>
      <c r="L101" s="875">
        <v>7.0999999999999994E-2</v>
      </c>
    </row>
    <row r="102" spans="3:12" ht="15" hidden="1" x14ac:dyDescent="0.25">
      <c r="C102" s="854" t="str">
        <f t="shared" ref="C102:C114" si="3">C47</f>
        <v>WACC return on opening RAB value</v>
      </c>
      <c r="D102" s="854"/>
      <c r="E102" s="857">
        <f>H12</f>
        <v>5215.4664850762001</v>
      </c>
      <c r="F102" s="857">
        <f>I12</f>
        <v>359.12717109405804</v>
      </c>
      <c r="G102" s="858">
        <f>H47</f>
        <v>5224.3984489002996</v>
      </c>
      <c r="H102" s="859">
        <f>I47</f>
        <v>432.55754249071151</v>
      </c>
      <c r="I102" s="859">
        <f>H102-F102</f>
        <v>73.43037139665347</v>
      </c>
      <c r="J102" s="854"/>
      <c r="K102" s="876">
        <f>+$G$11/(1+K101)^(163/365)</f>
        <v>7.0999999999999952E-2</v>
      </c>
      <c r="L102" s="876">
        <f>+L101</f>
        <v>7.0999999999999994E-2</v>
      </c>
    </row>
    <row r="103" spans="3:12" ht="15" hidden="1" x14ac:dyDescent="0.25">
      <c r="C103" s="854" t="str">
        <f t="shared" si="3"/>
        <v>WACC return on value of commissioned assets - July</v>
      </c>
      <c r="D103" s="854"/>
      <c r="E103" s="857">
        <f t="shared" ref="E103:E114" si="4">H13</f>
        <v>0</v>
      </c>
      <c r="F103" s="857">
        <f t="shared" ref="F103:F114" si="5">I13</f>
        <v>0</v>
      </c>
      <c r="G103" s="858">
        <f>H48</f>
        <v>65.078073169733315</v>
      </c>
      <c r="H103" s="859">
        <f>I48</f>
        <v>5.1505494331088313</v>
      </c>
      <c r="I103" s="859">
        <f t="shared" ref="I103:I115" si="6">H103-F103</f>
        <v>5.1505494331088313</v>
      </c>
      <c r="J103" s="854"/>
      <c r="K103" s="876">
        <f>((1+$G$11)^(349.5/365)-1)/(1+$G$11)^(163/365)</f>
        <v>6.5836968919986763E-2</v>
      </c>
      <c r="L103" s="876">
        <f>(1+$L$101)^(349.5/365)-1</f>
        <v>6.7884882595473872E-2</v>
      </c>
    </row>
    <row r="104" spans="3:12" ht="15" hidden="1" x14ac:dyDescent="0.25">
      <c r="C104" s="854" t="str">
        <f t="shared" si="3"/>
        <v>WACC return on value of commissioned assets - August</v>
      </c>
      <c r="D104" s="854"/>
      <c r="E104" s="857">
        <f t="shared" si="4"/>
        <v>0</v>
      </c>
      <c r="F104" s="857">
        <f t="shared" si="5"/>
        <v>0</v>
      </c>
      <c r="G104" s="858">
        <f t="shared" ref="G104:G114" si="7">H49</f>
        <v>44.57086840063333</v>
      </c>
      <c r="H104" s="859">
        <f t="shared" ref="H104:H114" si="8">I49</f>
        <v>3.2036671389055025</v>
      </c>
      <c r="I104" s="859">
        <f t="shared" si="6"/>
        <v>3.2036671389055025</v>
      </c>
      <c r="J104" s="854"/>
      <c r="K104" s="876">
        <f>((1+$G$11)^(318.5/365)-1)/(1+$G$11)^(163/365)</f>
        <v>5.9821020778359865E-2</v>
      </c>
      <c r="L104" s="876">
        <f>(1+$L$101)^(318.5/365)-1</f>
        <v>6.1681803383380585E-2</v>
      </c>
    </row>
    <row r="105" spans="3:12" ht="15" hidden="1" x14ac:dyDescent="0.25">
      <c r="C105" s="854" t="str">
        <f t="shared" si="3"/>
        <v>WACC return on value of commissioned assets - September</v>
      </c>
      <c r="D105" s="854"/>
      <c r="E105" s="857">
        <f t="shared" si="4"/>
        <v>0</v>
      </c>
      <c r="F105" s="857">
        <f t="shared" si="5"/>
        <v>0</v>
      </c>
      <c r="G105" s="858">
        <f t="shared" si="7"/>
        <v>41.622540748933346</v>
      </c>
      <c r="H105" s="859">
        <f t="shared" si="8"/>
        <v>2.6961785552614805</v>
      </c>
      <c r="I105" s="859">
        <f t="shared" si="6"/>
        <v>2.6961785552614805</v>
      </c>
      <c r="J105" s="854"/>
      <c r="K105" s="876">
        <f>((1+$G$11)^(288/365)-1)/(1+$G$11)^(163/365)</f>
        <v>5.3936209378239244E-2</v>
      </c>
      <c r="L105" s="876">
        <f>(1+$L$101)^(288/365)-1</f>
        <v>5.5613940030205811E-2</v>
      </c>
    </row>
    <row r="106" spans="3:12" ht="15" hidden="1" x14ac:dyDescent="0.25">
      <c r="C106" s="854" t="str">
        <f t="shared" si="3"/>
        <v>WACC return on value of commissioned assets - October</v>
      </c>
      <c r="D106" s="854"/>
      <c r="E106" s="857">
        <f t="shared" si="4"/>
        <v>0</v>
      </c>
      <c r="F106" s="857">
        <f t="shared" si="5"/>
        <v>0</v>
      </c>
      <c r="G106" s="858">
        <f t="shared" si="7"/>
        <v>21.583370217933329</v>
      </c>
      <c r="H106" s="859">
        <f t="shared" si="8"/>
        <v>1.2458518131567331</v>
      </c>
      <c r="I106" s="859">
        <f t="shared" si="6"/>
        <v>1.2458518131567331</v>
      </c>
      <c r="J106" s="854"/>
      <c r="K106" s="876">
        <f>((1+$G$11)^(257.5/365)-1)/(1+$G$11)^(163/365)</f>
        <v>4.8085031625527401E-2</v>
      </c>
      <c r="L106" s="876">
        <f>(1+$L$101)^(257.5/365)-1</f>
        <v>4.9580756527015879E-2</v>
      </c>
    </row>
    <row r="107" spans="3:12" ht="15" hidden="1" x14ac:dyDescent="0.25">
      <c r="C107" s="854" t="str">
        <f t="shared" si="3"/>
        <v>WACC return on value of commissioned assets - November</v>
      </c>
      <c r="D107" s="854"/>
      <c r="E107" s="857">
        <f t="shared" si="4"/>
        <v>0</v>
      </c>
      <c r="F107" s="857">
        <f t="shared" si="5"/>
        <v>0</v>
      </c>
      <c r="G107" s="858">
        <f t="shared" si="7"/>
        <v>40.302681886233351</v>
      </c>
      <c r="H107" s="859">
        <f t="shared" si="8"/>
        <v>2.0439657650346583</v>
      </c>
      <c r="I107" s="859">
        <f t="shared" si="6"/>
        <v>2.0439657650346583</v>
      </c>
      <c r="J107" s="854"/>
      <c r="K107" s="876">
        <f>((1+$G$11)^(227/365)-1)/(1+$G$11)^(163/365)</f>
        <v>4.2267295292782926E-2</v>
      </c>
      <c r="L107" s="876">
        <f>(1+$L$101)^(227/365)-1</f>
        <v>4.3582054666974956E-2</v>
      </c>
    </row>
    <row r="108" spans="3:12" ht="15" hidden="1" x14ac:dyDescent="0.25">
      <c r="C108" s="854" t="str">
        <f t="shared" si="3"/>
        <v>WACC return on value of commissioned assets - December</v>
      </c>
      <c r="D108" s="854"/>
      <c r="E108" s="857">
        <f t="shared" si="4"/>
        <v>273.70011955761845</v>
      </c>
      <c r="F108" s="857">
        <f t="shared" si="5"/>
        <v>9.985349253853375</v>
      </c>
      <c r="G108" s="858">
        <f t="shared" si="7"/>
        <v>27.345923202533328</v>
      </c>
      <c r="H108" s="859">
        <f t="shared" si="8"/>
        <v>1.1965048835119645</v>
      </c>
      <c r="I108" s="859">
        <f t="shared" si="6"/>
        <v>-8.7888443703414101</v>
      </c>
      <c r="J108" s="854"/>
      <c r="K108" s="876">
        <f>((1+$G$11)^(196.5/365)-1)/(1+$G$11)^(163/365)</f>
        <v>3.6482809251207844E-2</v>
      </c>
      <c r="L108" s="876">
        <f>(1+$L$101)^(196.5/365)-1</f>
        <v>3.7617637376064827E-2</v>
      </c>
    </row>
    <row r="109" spans="3:12" ht="15" hidden="1" x14ac:dyDescent="0.25">
      <c r="C109" s="854" t="str">
        <f t="shared" si="3"/>
        <v>WACC return on value of commissioned assets - January</v>
      </c>
      <c r="D109" s="854"/>
      <c r="E109" s="857">
        <f t="shared" si="4"/>
        <v>273.70011955761845</v>
      </c>
      <c r="F109" s="857">
        <f t="shared" si="5"/>
        <v>8.3854524242950053</v>
      </c>
      <c r="G109" s="858">
        <f t="shared" si="7"/>
        <v>29.306612447033334</v>
      </c>
      <c r="H109" s="859">
        <f t="shared" si="8"/>
        <v>1.0763320244915509</v>
      </c>
      <c r="I109" s="859">
        <f t="shared" si="6"/>
        <v>-7.3091203998034544</v>
      </c>
      <c r="J109" s="854"/>
      <c r="K109" s="876">
        <f>((1+$G$11)^(165.5/365)-1)/(1+$G$11)^(163/365)</f>
        <v>3.0637372164281161E-2</v>
      </c>
      <c r="L109" s="876">
        <f>(1+$L$101)^(165.5/365)-1</f>
        <v>3.1590373106843872E-2</v>
      </c>
    </row>
    <row r="110" spans="3:12" ht="15" hidden="1" x14ac:dyDescent="0.25">
      <c r="C110" s="854" t="str">
        <f t="shared" si="3"/>
        <v>WACC return on value of commissioned assets - February</v>
      </c>
      <c r="D110" s="854"/>
      <c r="E110" s="857">
        <f t="shared" si="4"/>
        <v>0</v>
      </c>
      <c r="F110" s="857">
        <f t="shared" si="5"/>
        <v>0</v>
      </c>
      <c r="G110" s="858">
        <f t="shared" si="7"/>
        <v>14.317841660333332</v>
      </c>
      <c r="H110" s="859">
        <f t="shared" si="8"/>
        <v>0.43072036362604321</v>
      </c>
      <c r="I110" s="859">
        <f t="shared" si="6"/>
        <v>0.43072036362604321</v>
      </c>
      <c r="J110" s="854"/>
      <c r="K110" s="876">
        <f>((1+$G$11)^(136/365)-1)/(1+$G$11)^(163/365)</f>
        <v>2.5106311759790299E-2</v>
      </c>
      <c r="L110" s="876">
        <f>(1+$L$101)^(136/365)-1</f>
        <v>2.5887264468235971E-2</v>
      </c>
    </row>
    <row r="111" spans="3:12" ht="15" hidden="1" x14ac:dyDescent="0.25">
      <c r="C111" s="854" t="str">
        <f t="shared" si="3"/>
        <v>WACC return on value of commissioned assets - March</v>
      </c>
      <c r="D111" s="854"/>
      <c r="E111" s="857">
        <f t="shared" si="4"/>
        <v>0</v>
      </c>
      <c r="F111" s="857">
        <f t="shared" si="5"/>
        <v>0</v>
      </c>
      <c r="G111" s="858">
        <f t="shared" si="7"/>
        <v>40.257494645233329</v>
      </c>
      <c r="H111" s="859">
        <f t="shared" si="8"/>
        <v>0.94530746387263753</v>
      </c>
      <c r="I111" s="859">
        <f t="shared" si="6"/>
        <v>0.94530746387263753</v>
      </c>
      <c r="J111" s="854"/>
      <c r="K111" s="876">
        <f>((1+$G$11)^(106.5/365)-1)/(1+$G$11)^(163/365)</f>
        <v>1.9605829615039073E-2</v>
      </c>
      <c r="L111" s="876">
        <f>(1+$L$101)^(106.5/365)-1</f>
        <v>2.0215685251569138E-2</v>
      </c>
    </row>
    <row r="112" spans="3:12" ht="15" hidden="1" x14ac:dyDescent="0.25">
      <c r="C112" s="854" t="str">
        <f t="shared" si="3"/>
        <v>WACC return on value of commissioned assets - April</v>
      </c>
      <c r="D112" s="854"/>
      <c r="E112" s="857">
        <f t="shared" si="4"/>
        <v>0</v>
      </c>
      <c r="F112" s="857">
        <f t="shared" si="5"/>
        <v>0</v>
      </c>
      <c r="G112" s="858">
        <f t="shared" si="7"/>
        <v>33.943527763933339</v>
      </c>
      <c r="H112" s="859">
        <f t="shared" si="8"/>
        <v>0.56689044751349404</v>
      </c>
      <c r="I112" s="859">
        <f t="shared" si="6"/>
        <v>0.56689044751349404</v>
      </c>
      <c r="J112" s="854"/>
      <c r="K112" s="876">
        <f>((1+$G$11)^(76/365)-1)/(1+$G$11)^(163/365)</f>
        <v>1.3950861359939302E-2</v>
      </c>
      <c r="L112" s="876">
        <f>(1+$L$101)^(76/365)-1</f>
        <v>1.4384814505603805E-2</v>
      </c>
    </row>
    <row r="113" spans="3:12" ht="15" hidden="1" x14ac:dyDescent="0.25">
      <c r="C113" s="854" t="str">
        <f t="shared" si="3"/>
        <v>WACC return on value of commissioned assets - May</v>
      </c>
      <c r="D113" s="854"/>
      <c r="E113" s="857">
        <f t="shared" si="4"/>
        <v>0</v>
      </c>
      <c r="F113" s="857">
        <f t="shared" si="5"/>
        <v>0</v>
      </c>
      <c r="G113" s="858">
        <f t="shared" si="7"/>
        <v>49.099227584833329</v>
      </c>
      <c r="H113" s="859">
        <f t="shared" si="8"/>
        <v>0.48929193808172067</v>
      </c>
      <c r="I113" s="859">
        <f t="shared" si="6"/>
        <v>0.48929193808172067</v>
      </c>
      <c r="J113" s="854"/>
      <c r="K113" s="876">
        <f>((1+$G$11)^(45.5/365)-1)/(1+$G$11)^(163/365)</f>
        <v>8.3282131225029601E-3</v>
      </c>
      <c r="L113" s="876">
        <f>(1+$L$101)^(45.5/365)-1</f>
        <v>8.5872691183321859E-3</v>
      </c>
    </row>
    <row r="114" spans="3:12" ht="15" hidden="1" x14ac:dyDescent="0.25">
      <c r="C114" s="854" t="str">
        <f t="shared" si="3"/>
        <v>WACC return on value of commissioned assets - June</v>
      </c>
      <c r="D114" s="854"/>
      <c r="E114" s="857">
        <f t="shared" si="4"/>
        <v>0</v>
      </c>
      <c r="F114" s="861">
        <f t="shared" si="5"/>
        <v>0</v>
      </c>
      <c r="G114" s="857">
        <f t="shared" si="7"/>
        <v>75.125253345583431</v>
      </c>
      <c r="H114" s="859">
        <f t="shared" si="8"/>
        <v>0.24598818304220577</v>
      </c>
      <c r="I114" s="859">
        <f t="shared" si="6"/>
        <v>0.24598818304220577</v>
      </c>
      <c r="J114" s="854"/>
      <c r="K114" s="876">
        <f>((1+$G$11)^(15/365)-1)/(1+$G$11)^(163/365)</f>
        <v>2.737700183118467E-3</v>
      </c>
      <c r="L114" s="876">
        <f>(1+$L$101)^(15/365)-1</f>
        <v>2.8228586242855513E-3</v>
      </c>
    </row>
    <row r="115" spans="3:12" ht="15" hidden="1" x14ac:dyDescent="0.25">
      <c r="C115" s="854" t="s">
        <v>386</v>
      </c>
      <c r="D115" s="854"/>
      <c r="E115" s="854"/>
      <c r="F115" s="861"/>
      <c r="G115" s="854"/>
      <c r="H115" s="859">
        <f>I62</f>
        <v>-0.25887409714475923</v>
      </c>
      <c r="I115" s="859">
        <f t="shared" si="6"/>
        <v>-0.25887409714475923</v>
      </c>
      <c r="J115" s="854"/>
      <c r="K115" s="876" t="str">
        <f t="shared" ref="K115" si="9">G25</f>
        <v> </v>
      </c>
      <c r="L115" s="876"/>
    </row>
    <row r="116" spans="3:12" ht="15" hidden="1" x14ac:dyDescent="0.25">
      <c r="C116" s="854" t="s">
        <v>1092</v>
      </c>
      <c r="D116" s="854"/>
      <c r="E116" s="862">
        <f>SUM(E102:E114)</f>
        <v>5762.8667241914372</v>
      </c>
      <c r="F116" s="863">
        <f>SUM(F102:F114)</f>
        <v>377.49797277220642</v>
      </c>
      <c r="G116" s="864">
        <f>SUM(G102:G115)</f>
        <v>5706.9518639732496</v>
      </c>
      <c r="H116" s="865">
        <f>SUM(H102:H115)</f>
        <v>451.58991640317362</v>
      </c>
      <c r="I116" s="866">
        <f>SUM(I102:I115)</f>
        <v>74.091943630967165</v>
      </c>
      <c r="J116" s="854"/>
      <c r="K116" s="876"/>
      <c r="L116" s="876"/>
    </row>
    <row r="117" spans="3:12" ht="15" hidden="1" x14ac:dyDescent="0.25">
      <c r="C117" s="854"/>
      <c r="D117" s="854"/>
      <c r="E117" s="854"/>
      <c r="F117" s="861"/>
      <c r="G117" s="867"/>
      <c r="H117" s="859"/>
      <c r="I117" s="868"/>
      <c r="J117" s="854"/>
      <c r="K117" s="876"/>
      <c r="L117" s="876"/>
    </row>
    <row r="118" spans="3:12" ht="15" hidden="1" x14ac:dyDescent="0.25">
      <c r="C118" s="854" t="s">
        <v>395</v>
      </c>
      <c r="D118" s="854"/>
      <c r="E118" s="857">
        <f t="shared" ref="E118:E126" si="10">H26</f>
        <v>-99.02948560010546</v>
      </c>
      <c r="F118" s="861">
        <f t="shared" ref="F118:F126" si="11">I26</f>
        <v>-96.042018728498448</v>
      </c>
      <c r="G118" s="869">
        <f>-H67</f>
        <v>-204.09800000000001</v>
      </c>
      <c r="H118" s="870">
        <f>-I67</f>
        <v>-204.09800000000001</v>
      </c>
      <c r="I118" s="871">
        <f t="shared" ref="I118:I129" si="12">H118-F118</f>
        <v>-108.05598127150157</v>
      </c>
      <c r="J118" s="854"/>
      <c r="K118" s="876">
        <f>G26</f>
        <v>0.96983255185560791</v>
      </c>
      <c r="L118" s="876">
        <v>1</v>
      </c>
    </row>
    <row r="119" spans="3:12" ht="15" hidden="1" x14ac:dyDescent="0.25">
      <c r="C119" s="854" t="s">
        <v>348</v>
      </c>
      <c r="D119" s="854"/>
      <c r="E119" s="857">
        <f t="shared" si="10"/>
        <v>281.77054553183837</v>
      </c>
      <c r="F119" s="861">
        <f t="shared" si="11"/>
        <v>273.27024721088958</v>
      </c>
      <c r="G119" s="869">
        <f>H71</f>
        <v>286.52867433972347</v>
      </c>
      <c r="H119" s="870">
        <f>I71</f>
        <v>286.52867433972347</v>
      </c>
      <c r="I119" s="859">
        <f t="shared" si="12"/>
        <v>13.258427128833887</v>
      </c>
      <c r="J119" s="854"/>
      <c r="K119" s="876">
        <f t="shared" ref="K119:K126" si="13">G27</f>
        <v>0.96983255185560791</v>
      </c>
      <c r="L119" s="876">
        <v>1</v>
      </c>
    </row>
    <row r="120" spans="3:12" ht="15" hidden="1" x14ac:dyDescent="0.25">
      <c r="C120" s="854" t="str">
        <f t="shared" ref="C120:C127" si="14">C28</f>
        <v>Operating expenditure</v>
      </c>
      <c r="D120" s="854"/>
      <c r="E120" s="857">
        <f t="shared" si="10"/>
        <v>421.10482094415897</v>
      </c>
      <c r="F120" s="861">
        <f t="shared" si="11"/>
        <v>422.61109848390214</v>
      </c>
      <c r="G120" s="869">
        <f>H70</f>
        <v>426.24009083042711</v>
      </c>
      <c r="H120" s="870">
        <f>I70</f>
        <v>443.4863179094711</v>
      </c>
      <c r="I120" s="859">
        <f t="shared" si="12"/>
        <v>20.875219425568957</v>
      </c>
      <c r="J120" s="854"/>
      <c r="K120" s="876">
        <f t="shared" si="13"/>
        <v>1.0035769657929015</v>
      </c>
      <c r="L120" s="876">
        <f>(1+$L$101)^(182/365)</f>
        <v>1.034794061998362</v>
      </c>
    </row>
    <row r="121" spans="3:12" ht="15" hidden="1" x14ac:dyDescent="0.25">
      <c r="C121" s="854" t="str">
        <f t="shared" si="14"/>
        <v>Tax</v>
      </c>
      <c r="D121" s="854"/>
      <c r="E121" s="857">
        <f t="shared" si="10"/>
        <v>23.216791376761574</v>
      </c>
      <c r="F121" s="861">
        <f t="shared" si="11"/>
        <v>23.299837045337178</v>
      </c>
      <c r="G121" s="869">
        <f>H77</f>
        <v>9.9362948475224968</v>
      </c>
      <c r="H121" s="870">
        <f>I77</f>
        <v>10.338330228405713</v>
      </c>
      <c r="I121" s="859">
        <f t="shared" si="12"/>
        <v>-12.961506816931465</v>
      </c>
      <c r="J121" s="854"/>
      <c r="K121" s="876">
        <f t="shared" si="13"/>
        <v>1.0035769657929015</v>
      </c>
      <c r="L121" s="876">
        <f>(1+L101)^(182/365)</f>
        <v>1.034794061998362</v>
      </c>
    </row>
    <row r="122" spans="3:12" ht="15" hidden="1" x14ac:dyDescent="0.25">
      <c r="C122" s="854" t="str">
        <f t="shared" si="14"/>
        <v>Term credit spread differential</v>
      </c>
      <c r="D122" s="854"/>
      <c r="E122" s="857">
        <f t="shared" si="10"/>
        <v>3.1636214615279901</v>
      </c>
      <c r="F122" s="861">
        <f t="shared" si="11"/>
        <v>3.1749376272775645</v>
      </c>
      <c r="G122" s="869">
        <f>H72</f>
        <v>2.1628729130616811</v>
      </c>
      <c r="H122" s="870">
        <f>I72</f>
        <v>2.2503855572362408</v>
      </c>
      <c r="I122" s="859">
        <f t="shared" si="12"/>
        <v>-0.92455207004132367</v>
      </c>
      <c r="J122" s="854"/>
      <c r="K122" s="876">
        <f t="shared" si="13"/>
        <v>1.0035769657929015</v>
      </c>
      <c r="L122" s="876">
        <f>(1+$L$101)^(182/365)</f>
        <v>1.034794061998362</v>
      </c>
    </row>
    <row r="123" spans="3:12" ht="15" hidden="1" x14ac:dyDescent="0.25">
      <c r="C123" s="854" t="str">
        <f t="shared" si="14"/>
        <v>EV adjustment</v>
      </c>
      <c r="D123" s="854"/>
      <c r="E123" s="857">
        <f t="shared" si="10"/>
        <v>46.087171911700381</v>
      </c>
      <c r="F123" s="861">
        <f t="shared" si="11"/>
        <v>44.696839542932473</v>
      </c>
      <c r="G123" s="869">
        <f>H31</f>
        <v>46.087171911700381</v>
      </c>
      <c r="H123" s="870">
        <f>I31</f>
        <v>44.696839542932473</v>
      </c>
      <c r="I123" s="859">
        <f t="shared" si="12"/>
        <v>0</v>
      </c>
      <c r="J123" s="854"/>
      <c r="K123" s="876">
        <f t="shared" si="13"/>
        <v>0.96983255185560791</v>
      </c>
      <c r="L123" s="876">
        <f>(1+$L$101)^(182/365)</f>
        <v>1.034794061998362</v>
      </c>
    </row>
    <row r="124" spans="3:12" ht="15" hidden="1" x14ac:dyDescent="0.25">
      <c r="C124" s="854" t="str">
        <f t="shared" si="14"/>
        <v>Pass-through costs</v>
      </c>
      <c r="D124" s="854"/>
      <c r="E124" s="857">
        <f t="shared" si="10"/>
        <v>22.283521472515201</v>
      </c>
      <c r="F124" s="861">
        <f t="shared" si="11"/>
        <v>22.363228866567773</v>
      </c>
      <c r="G124" s="869">
        <f t="shared" ref="G124:H126" si="15">H73</f>
        <v>19.213789250000001</v>
      </c>
      <c r="H124" s="870">
        <f t="shared" si="15"/>
        <v>19.991204091031985</v>
      </c>
      <c r="I124" s="859">
        <f t="shared" si="12"/>
        <v>-2.3720247755357882</v>
      </c>
      <c r="J124" s="854"/>
      <c r="K124" s="876">
        <f t="shared" si="13"/>
        <v>1.0035769657929015</v>
      </c>
      <c r="L124" s="876">
        <f>(1+$L$101)^(182/365)</f>
        <v>1.034794061998362</v>
      </c>
    </row>
    <row r="125" spans="3:12" ht="15" hidden="1" x14ac:dyDescent="0.25">
      <c r="C125" s="854" t="str">
        <f t="shared" si="14"/>
        <v>Recoverable costs - non-IRIS</v>
      </c>
      <c r="D125" s="854"/>
      <c r="E125" s="857">
        <f t="shared" si="10"/>
        <v>3.1710635100660625</v>
      </c>
      <c r="F125" s="861">
        <f t="shared" si="11"/>
        <v>3.1824062957686867</v>
      </c>
      <c r="G125" s="869">
        <f t="shared" si="15"/>
        <v>1.4697707300000005</v>
      </c>
      <c r="H125" s="870">
        <f t="shared" si="15"/>
        <v>1.5292395606168665</v>
      </c>
      <c r="I125" s="859">
        <f t="shared" si="12"/>
        <v>-1.6531667351518202</v>
      </c>
      <c r="J125" s="854"/>
      <c r="K125" s="876">
        <f t="shared" si="13"/>
        <v>1.0035769657929015</v>
      </c>
      <c r="L125" s="876">
        <f t="shared" ref="L125:L126" si="16">(1+$L$101)^(182/365)</f>
        <v>1.034794061998362</v>
      </c>
    </row>
    <row r="126" spans="3:12" ht="15" hidden="1" x14ac:dyDescent="0.25">
      <c r="C126" s="854" t="str">
        <f t="shared" si="14"/>
        <v>Recoverable costs - IRIS</v>
      </c>
      <c r="D126" s="854"/>
      <c r="E126" s="857">
        <f t="shared" si="10"/>
        <v>1.9379999999999999</v>
      </c>
      <c r="F126" s="861">
        <f t="shared" si="11"/>
        <v>1.9449321597066429</v>
      </c>
      <c r="G126" s="869">
        <f t="shared" si="15"/>
        <v>3.1710635100660625</v>
      </c>
      <c r="H126" s="870">
        <f t="shared" si="15"/>
        <v>3.2993688538222572</v>
      </c>
      <c r="I126" s="859">
        <f t="shared" si="12"/>
        <v>1.3544366941156143</v>
      </c>
      <c r="J126" s="854"/>
      <c r="K126" s="876">
        <f t="shared" si="13"/>
        <v>1.0035769657929015</v>
      </c>
      <c r="L126" s="876">
        <f t="shared" si="16"/>
        <v>1.034794061998362</v>
      </c>
    </row>
    <row r="127" spans="3:12" ht="15" hidden="1" x14ac:dyDescent="0.25">
      <c r="C127" s="854" t="str">
        <f t="shared" si="14"/>
        <v>Total MAR</v>
      </c>
      <c r="D127" s="854"/>
      <c r="E127" s="862">
        <f>SUM(E116:E126)</f>
        <v>6466.5727747999008</v>
      </c>
      <c r="F127" s="863">
        <f>SUM(F116:F126)</f>
        <v>1075.9994812760901</v>
      </c>
      <c r="G127" s="864">
        <f>SUM(G116:G126)</f>
        <v>6297.663592305752</v>
      </c>
      <c r="H127" s="865">
        <f>SUM(H116:H126)</f>
        <v>1059.6122764864135</v>
      </c>
      <c r="I127" s="859">
        <f t="shared" si="12"/>
        <v>-16.387204789676616</v>
      </c>
      <c r="J127" s="854"/>
      <c r="K127" s="876"/>
      <c r="L127" s="876"/>
    </row>
    <row r="128" spans="3:12" ht="15" hidden="1" x14ac:dyDescent="0.25">
      <c r="C128" s="854" t="s">
        <v>395</v>
      </c>
      <c r="D128" s="854"/>
      <c r="E128" s="854"/>
      <c r="F128" s="861">
        <f>-F118</f>
        <v>96.042018728498448</v>
      </c>
      <c r="G128" s="867"/>
      <c r="H128" s="870">
        <f>-H118</f>
        <v>204.09800000000001</v>
      </c>
      <c r="I128" s="859">
        <f t="shared" si="12"/>
        <v>108.05598127150157</v>
      </c>
      <c r="J128" s="854"/>
      <c r="K128" s="876"/>
      <c r="L128" s="876"/>
    </row>
    <row r="129" spans="3:12" ht="15" hidden="1" x14ac:dyDescent="0.25">
      <c r="C129" s="854" t="s">
        <v>1094</v>
      </c>
      <c r="D129" s="854"/>
      <c r="E129" s="862">
        <f>SUM(E127:E128)</f>
        <v>6466.5727747999008</v>
      </c>
      <c r="F129" s="863">
        <f>SUM(F127:F128)</f>
        <v>1172.0415000045887</v>
      </c>
      <c r="G129" s="864">
        <f>SUM(G127:G128)</f>
        <v>6297.663592305752</v>
      </c>
      <c r="H129" s="865">
        <f>SUM(H127:H128)</f>
        <v>1263.7102764864135</v>
      </c>
      <c r="I129" s="859">
        <f t="shared" si="12"/>
        <v>91.668776481824807</v>
      </c>
      <c r="J129" s="854"/>
      <c r="K129" s="876"/>
      <c r="L129" s="876"/>
    </row>
    <row r="130" spans="3:12" hidden="1" x14ac:dyDescent="0.2">
      <c r="C130" s="854" t="s">
        <v>1098</v>
      </c>
      <c r="D130" s="854"/>
      <c r="E130" s="854"/>
      <c r="F130" s="854"/>
      <c r="G130" s="854"/>
      <c r="H130" s="870">
        <f>I64+I67</f>
        <v>1214.3512655913428</v>
      </c>
      <c r="I130" s="854"/>
      <c r="J130" s="854"/>
      <c r="K130" s="854"/>
      <c r="L130" s="860"/>
    </row>
    <row r="131" spans="3:12" hidden="1" x14ac:dyDescent="0.2">
      <c r="C131" s="854"/>
      <c r="D131" s="854"/>
      <c r="E131" s="854"/>
      <c r="F131" s="872" t="s">
        <v>1099</v>
      </c>
      <c r="G131" s="854"/>
      <c r="H131" s="865">
        <f>H129-H130</f>
        <v>49.359010895070696</v>
      </c>
      <c r="I131" s="854"/>
      <c r="J131" s="854"/>
      <c r="K131" s="854"/>
      <c r="L131" s="854"/>
    </row>
    <row r="132" spans="3:12" hidden="1" x14ac:dyDescent="0.2">
      <c r="C132" s="854"/>
      <c r="D132" s="854"/>
      <c r="E132" s="854"/>
      <c r="F132" s="873"/>
      <c r="G132" s="854"/>
      <c r="H132" s="854"/>
      <c r="I132" s="854"/>
      <c r="J132" s="854"/>
      <c r="K132" s="854"/>
      <c r="L132" s="854"/>
    </row>
    <row r="133" spans="3:12" hidden="1" x14ac:dyDescent="0.2">
      <c r="C133" s="854"/>
      <c r="D133" s="854"/>
      <c r="E133" s="854"/>
      <c r="F133" s="872" t="s">
        <v>1100</v>
      </c>
      <c r="G133" s="854"/>
      <c r="H133" s="857">
        <f>H131*0.72</f>
        <v>35.538487844450898</v>
      </c>
      <c r="I133" s="854"/>
      <c r="J133" s="854"/>
      <c r="K133" s="854"/>
      <c r="L133" s="854"/>
    </row>
    <row r="134" spans="3:12" hidden="1" x14ac:dyDescent="0.2">
      <c r="C134" s="854"/>
      <c r="D134" s="854"/>
      <c r="E134" s="854"/>
      <c r="F134" s="874" t="s">
        <v>1101</v>
      </c>
      <c r="G134" s="854"/>
      <c r="H134" s="857">
        <f>I82</f>
        <v>36.660562971149822</v>
      </c>
      <c r="I134" s="854"/>
      <c r="J134" s="854"/>
      <c r="K134" s="854"/>
      <c r="L134" s="854"/>
    </row>
    <row r="135" spans="3:12" hidden="1" x14ac:dyDescent="0.2">
      <c r="C135" s="854"/>
      <c r="D135" s="854"/>
      <c r="E135" s="854"/>
      <c r="F135" s="874" t="s">
        <v>1102</v>
      </c>
      <c r="G135" s="854"/>
      <c r="H135" s="862">
        <f>H133-H134</f>
        <v>-1.122075126698924</v>
      </c>
      <c r="I135" s="854"/>
      <c r="J135" s="854"/>
      <c r="K135" s="854"/>
      <c r="L135" s="854"/>
    </row>
    <row r="136" spans="3:12" x14ac:dyDescent="0.2">
      <c r="C136" s="854"/>
      <c r="D136" s="854"/>
      <c r="E136" s="854"/>
      <c r="F136" s="854"/>
      <c r="G136" s="854"/>
      <c r="H136" s="854"/>
      <c r="I136" s="854"/>
      <c r="J136" s="854"/>
      <c r="K136" s="854"/>
      <c r="L136" s="854"/>
    </row>
  </sheetData>
  <mergeCells count="9">
    <mergeCell ref="C87:I87"/>
    <mergeCell ref="B84:K84"/>
    <mergeCell ref="B85:K85"/>
    <mergeCell ref="B40:K40"/>
    <mergeCell ref="B2:E2"/>
    <mergeCell ref="B5:K5"/>
    <mergeCell ref="B39:K39"/>
    <mergeCell ref="B6:K6"/>
    <mergeCell ref="H8:I8"/>
  </mergeCells>
  <hyperlinks>
    <hyperlink ref="B2" location="Contents!A1" display="A summary of pass-through costs and recoverable costs for the disclosure year as set out in Schedule H" xr:uid="{15F5EA5C-6F18-4FF8-B303-4ADA4E1FA24E}"/>
    <hyperlink ref="B2:E2" location="'Table of Contents'!A1" display="'Table of Contents'!A1" xr:uid="{FBF26FC5-D21F-40D9-8160-548ACDB5E922}"/>
  </hyperlinks>
  <pageMargins left="0.23622047244094491" right="0.23622047244094491" top="0.74803149606299213" bottom="0.74803149606299213" header="0.31496062992125984" footer="0.31496062992125984"/>
  <pageSetup paperSize="8" scale="91" fitToHeight="0" orientation="landscape" r:id="rId1"/>
  <headerFooter>
    <oddHeader>&amp;F</oddHeader>
    <oddFooter>&amp;A&amp;RPage &amp;P</oddFooter>
  </headerFooter>
  <rowBreaks count="3" manualBreakCount="3">
    <brk id="37" min="1" max="10" man="1"/>
    <brk id="78" max="10" man="1"/>
    <brk id="83" max="10" man="1"/>
  </rowBreaks>
  <colBreaks count="1" manualBreakCount="1">
    <brk id="1" max="88" man="1"/>
  </colBreaks>
  <ignoredErrors>
    <ignoredError sqref="G31 G61 I25"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EEED-4BB0-42C3-A225-04DB8CB6CFED}">
  <sheetPr>
    <tabColor theme="3" tint="0.249977111117893"/>
    <pageSetUpPr fitToPage="1"/>
  </sheetPr>
  <dimension ref="B2:O88"/>
  <sheetViews>
    <sheetView view="pageBreakPreview" zoomScaleNormal="100" zoomScaleSheetLayoutView="100" workbookViewId="0"/>
  </sheetViews>
  <sheetFormatPr defaultColWidth="9.140625" defaultRowHeight="15" x14ac:dyDescent="0.25"/>
  <cols>
    <col min="1" max="1" width="5.85546875" style="1" customWidth="1"/>
    <col min="2" max="2" width="8.140625" style="1" customWidth="1"/>
    <col min="3" max="3" width="55.5703125" style="1" customWidth="1"/>
    <col min="4" max="4" width="9.85546875" style="1" customWidth="1"/>
    <col min="5" max="5" width="15" style="1" customWidth="1"/>
    <col min="6" max="6" width="5.7109375" style="1" customWidth="1"/>
    <col min="7" max="7" width="10.5703125" style="1" bestFit="1" customWidth="1"/>
    <col min="8" max="8" width="16.28515625" style="1" bestFit="1" customWidth="1"/>
    <col min="9" max="9" width="9.85546875" style="1" bestFit="1" customWidth="1"/>
    <col min="10" max="10" width="9.85546875" style="1" customWidth="1"/>
    <col min="11" max="11" width="16.7109375" style="1" bestFit="1" customWidth="1"/>
    <col min="12" max="16384" width="9.140625" style="1"/>
  </cols>
  <sheetData>
    <row r="2" spans="2:15" ht="37.5" customHeight="1" x14ac:dyDescent="0.25">
      <c r="B2" s="1170" t="s">
        <v>431</v>
      </c>
      <c r="C2" s="1171"/>
      <c r="D2" s="1171"/>
      <c r="E2" s="1171"/>
      <c r="F2" s="1172"/>
      <c r="H2" s="354"/>
    </row>
    <row r="3" spans="2:15" ht="22.5" customHeight="1" x14ac:dyDescent="0.25">
      <c r="B3" s="174"/>
      <c r="C3" s="166"/>
      <c r="D3" s="232" t="s">
        <v>3</v>
      </c>
      <c r="E3" s="734">
        <f>+'Directors Certificate'!K3</f>
        <v>46203</v>
      </c>
      <c r="F3" s="209"/>
    </row>
    <row r="4" spans="2:15" ht="18.75" x14ac:dyDescent="0.3">
      <c r="B4" s="1167" t="s">
        <v>432</v>
      </c>
      <c r="C4" s="1168"/>
      <c r="D4" s="1168"/>
      <c r="E4" s="1168"/>
      <c r="F4" s="1169"/>
      <c r="H4" s="148"/>
    </row>
    <row r="5" spans="2:15" ht="60" customHeight="1" x14ac:dyDescent="0.25">
      <c r="B5" s="1173" t="s">
        <v>433</v>
      </c>
      <c r="C5" s="1174"/>
      <c r="D5" s="1174"/>
      <c r="E5" s="1174"/>
      <c r="F5" s="1175"/>
      <c r="H5" s="1176"/>
      <c r="I5" s="1176"/>
      <c r="J5" s="1176"/>
      <c r="K5" s="1176"/>
      <c r="L5" s="1176"/>
      <c r="M5" s="1176"/>
      <c r="N5" s="1176"/>
      <c r="O5" s="49"/>
    </row>
    <row r="6" spans="2:15" ht="87.75" customHeight="1" x14ac:dyDescent="0.25">
      <c r="B6" s="1177" t="s">
        <v>434</v>
      </c>
      <c r="C6" s="1178"/>
      <c r="D6" s="1178"/>
      <c r="E6" s="1178"/>
      <c r="F6" s="1179"/>
      <c r="H6" s="49"/>
    </row>
    <row r="7" spans="2:15" x14ac:dyDescent="0.25">
      <c r="B7" s="494"/>
      <c r="C7" s="495"/>
      <c r="D7" s="495"/>
      <c r="E7" s="495"/>
      <c r="F7" s="349"/>
      <c r="H7" s="214"/>
    </row>
    <row r="8" spans="2:15" x14ac:dyDescent="0.25">
      <c r="B8" s="376" t="s">
        <v>435</v>
      </c>
      <c r="D8" s="21"/>
      <c r="F8" s="16"/>
    </row>
    <row r="9" spans="2:15" x14ac:dyDescent="0.25">
      <c r="B9" s="12"/>
      <c r="C9" s="43"/>
      <c r="D9" s="183"/>
      <c r="E9" s="184" t="s">
        <v>247</v>
      </c>
      <c r="F9" s="216"/>
    </row>
    <row r="10" spans="2:15" x14ac:dyDescent="0.25">
      <c r="B10" s="12"/>
      <c r="C10" s="27" t="s">
        <v>436</v>
      </c>
      <c r="D10" s="154"/>
      <c r="E10" s="197">
        <v>5224.3984489002996</v>
      </c>
      <c r="F10" s="193"/>
      <c r="H10" s="21"/>
    </row>
    <row r="11" spans="2:15" ht="15" customHeight="1" x14ac:dyDescent="0.25">
      <c r="B11" s="51" t="s">
        <v>437</v>
      </c>
      <c r="C11" s="155" t="s">
        <v>438</v>
      </c>
      <c r="D11" s="87"/>
      <c r="E11" s="219"/>
      <c r="F11" s="217"/>
    </row>
    <row r="12" spans="2:15" x14ac:dyDescent="0.25">
      <c r="B12" s="12"/>
      <c r="C12" s="12"/>
      <c r="D12" s="89"/>
      <c r="E12" s="220"/>
      <c r="F12" s="217"/>
    </row>
    <row r="13" spans="2:15" ht="17.25" x14ac:dyDescent="0.3">
      <c r="B13" s="51" t="s">
        <v>279</v>
      </c>
      <c r="C13" s="12" t="s">
        <v>307</v>
      </c>
      <c r="D13" s="89"/>
      <c r="E13" s="550">
        <v>65.078073169733315</v>
      </c>
      <c r="F13" s="217"/>
      <c r="H13" s="742"/>
    </row>
    <row r="14" spans="2:15" ht="17.25" x14ac:dyDescent="0.3">
      <c r="B14" s="51" t="s">
        <v>279</v>
      </c>
      <c r="C14" s="185" t="s">
        <v>310</v>
      </c>
      <c r="D14" s="186"/>
      <c r="E14" s="548">
        <v>44.57086840063333</v>
      </c>
      <c r="F14" s="217"/>
      <c r="H14" s="742"/>
      <c r="I14" s="215"/>
      <c r="J14" s="215"/>
    </row>
    <row r="15" spans="2:15" ht="17.25" x14ac:dyDescent="0.3">
      <c r="B15" s="51" t="s">
        <v>279</v>
      </c>
      <c r="C15" s="12" t="s">
        <v>313</v>
      </c>
      <c r="D15" s="89"/>
      <c r="E15" s="550">
        <v>41.622540748933346</v>
      </c>
      <c r="F15" s="217"/>
      <c r="H15" s="742"/>
    </row>
    <row r="16" spans="2:15" ht="17.25" x14ac:dyDescent="0.3">
      <c r="B16" s="51" t="s">
        <v>279</v>
      </c>
      <c r="C16" s="185" t="s">
        <v>316</v>
      </c>
      <c r="D16" s="186"/>
      <c r="E16" s="548">
        <v>21.583370217933329</v>
      </c>
      <c r="F16" s="217"/>
      <c r="H16" s="742"/>
    </row>
    <row r="17" spans="2:8" ht="17.25" x14ac:dyDescent="0.3">
      <c r="B17" s="51" t="s">
        <v>279</v>
      </c>
      <c r="C17" s="12" t="s">
        <v>319</v>
      </c>
      <c r="D17" s="89"/>
      <c r="E17" s="550">
        <v>40.302681886233351</v>
      </c>
      <c r="F17" s="217"/>
      <c r="H17" s="742"/>
    </row>
    <row r="18" spans="2:8" ht="17.25" x14ac:dyDescent="0.3">
      <c r="B18" s="51" t="s">
        <v>279</v>
      </c>
      <c r="C18" s="185" t="s">
        <v>322</v>
      </c>
      <c r="D18" s="186"/>
      <c r="E18" s="548">
        <v>27.345923202533328</v>
      </c>
      <c r="F18" s="217"/>
      <c r="H18" s="742"/>
    </row>
    <row r="19" spans="2:8" ht="17.25" x14ac:dyDescent="0.3">
      <c r="B19" s="51" t="s">
        <v>279</v>
      </c>
      <c r="C19" s="12" t="s">
        <v>325</v>
      </c>
      <c r="D19" s="89"/>
      <c r="E19" s="550">
        <v>29.306612447033334</v>
      </c>
      <c r="F19" s="217"/>
      <c r="H19" s="742"/>
    </row>
    <row r="20" spans="2:8" ht="17.25" x14ac:dyDescent="0.3">
      <c r="B20" s="51" t="s">
        <v>279</v>
      </c>
      <c r="C20" s="185" t="s">
        <v>328</v>
      </c>
      <c r="D20" s="186"/>
      <c r="E20" s="548">
        <v>14.317841660333332</v>
      </c>
      <c r="F20" s="217"/>
      <c r="H20" s="742"/>
    </row>
    <row r="21" spans="2:8" ht="17.25" x14ac:dyDescent="0.3">
      <c r="B21" s="51" t="s">
        <v>279</v>
      </c>
      <c r="C21" s="12" t="s">
        <v>331</v>
      </c>
      <c r="D21" s="89"/>
      <c r="E21" s="550">
        <v>40.257494645233329</v>
      </c>
      <c r="F21" s="217"/>
      <c r="H21" s="742"/>
    </row>
    <row r="22" spans="2:8" ht="17.25" x14ac:dyDescent="0.3">
      <c r="B22" s="51" t="s">
        <v>279</v>
      </c>
      <c r="C22" s="185" t="s">
        <v>334</v>
      </c>
      <c r="D22" s="186"/>
      <c r="E22" s="548">
        <v>33.943527763933339</v>
      </c>
      <c r="F22" s="217"/>
      <c r="H22" s="742"/>
    </row>
    <row r="23" spans="2:8" ht="17.25" x14ac:dyDescent="0.3">
      <c r="B23" s="51" t="s">
        <v>279</v>
      </c>
      <c r="C23" s="12" t="s">
        <v>337</v>
      </c>
      <c r="D23" s="89"/>
      <c r="E23" s="550">
        <v>49.099227584833329</v>
      </c>
      <c r="F23" s="217"/>
      <c r="H23" s="742"/>
    </row>
    <row r="24" spans="2:8" ht="17.25" x14ac:dyDescent="0.3">
      <c r="B24" s="51" t="s">
        <v>279</v>
      </c>
      <c r="C24" s="185" t="s">
        <v>340</v>
      </c>
      <c r="D24" s="186"/>
      <c r="E24" s="548">
        <v>75.125253345583431</v>
      </c>
      <c r="F24" s="217"/>
      <c r="H24" s="742"/>
    </row>
    <row r="25" spans="2:8" ht="17.25" x14ac:dyDescent="0.3">
      <c r="B25" s="51"/>
      <c r="C25" s="12"/>
      <c r="D25" s="89"/>
      <c r="E25" s="88"/>
      <c r="F25" s="217"/>
      <c r="H25" s="742"/>
    </row>
    <row r="26" spans="2:8" ht="15" customHeight="1" x14ac:dyDescent="0.3">
      <c r="B26" s="51" t="s">
        <v>439</v>
      </c>
      <c r="C26" s="12" t="s">
        <v>348</v>
      </c>
      <c r="D26" s="89"/>
      <c r="E26" s="342">
        <f>-E51-E52</f>
        <v>-281.60000000000002</v>
      </c>
      <c r="F26" s="217"/>
      <c r="H26" s="742"/>
    </row>
    <row r="27" spans="2:8" ht="17.25" x14ac:dyDescent="0.3">
      <c r="B27" s="51" t="s">
        <v>439</v>
      </c>
      <c r="C27" s="185" t="s">
        <v>440</v>
      </c>
      <c r="D27" s="186"/>
      <c r="E27" s="341">
        <f>-E38</f>
        <v>-6.3980671351999607</v>
      </c>
      <c r="F27" s="217"/>
      <c r="H27" s="742"/>
    </row>
    <row r="28" spans="2:8" ht="17.25" x14ac:dyDescent="0.3">
      <c r="B28" s="51" t="s">
        <v>439</v>
      </c>
      <c r="C28" s="12" t="s">
        <v>441</v>
      </c>
      <c r="D28" s="89"/>
      <c r="E28" s="342">
        <v>0</v>
      </c>
      <c r="F28" s="217"/>
      <c r="H28" s="742"/>
    </row>
    <row r="29" spans="2:8" ht="17.25" x14ac:dyDescent="0.3">
      <c r="B29" s="51" t="s">
        <v>439</v>
      </c>
      <c r="C29" s="1088" t="s">
        <v>1046</v>
      </c>
      <c r="D29" s="1089"/>
      <c r="E29" s="1090">
        <v>-0.3</v>
      </c>
      <c r="F29" s="217"/>
      <c r="H29" s="742"/>
    </row>
    <row r="30" spans="2:8" ht="17.25" x14ac:dyDescent="0.3">
      <c r="B30" s="51" t="s">
        <v>279</v>
      </c>
      <c r="C30" s="12" t="s">
        <v>442</v>
      </c>
      <c r="D30" s="89"/>
      <c r="E30" s="550">
        <v>0</v>
      </c>
      <c r="F30" s="217"/>
      <c r="H30" s="742"/>
    </row>
    <row r="31" spans="2:8" ht="17.25" x14ac:dyDescent="0.3">
      <c r="B31" s="51" t="s">
        <v>279</v>
      </c>
      <c r="C31" s="185" t="s">
        <v>395</v>
      </c>
      <c r="D31" s="186"/>
      <c r="E31" s="548">
        <f>E82</f>
        <v>204.09800000000001</v>
      </c>
      <c r="F31" s="217"/>
      <c r="H31" s="742"/>
    </row>
    <row r="32" spans="2:8" ht="17.25" x14ac:dyDescent="0.3">
      <c r="B32" s="12"/>
      <c r="C32" s="12"/>
      <c r="D32" s="89"/>
      <c r="E32" s="550"/>
      <c r="F32" s="217"/>
      <c r="H32" s="621"/>
    </row>
    <row r="33" spans="2:11" x14ac:dyDescent="0.25">
      <c r="B33" s="51" t="s">
        <v>437</v>
      </c>
      <c r="C33" s="90" t="s">
        <v>443</v>
      </c>
      <c r="D33" s="87"/>
      <c r="E33" s="91"/>
      <c r="F33" s="218"/>
      <c r="G33" s="86"/>
      <c r="H33" s="42"/>
    </row>
    <row r="34" spans="2:11" x14ac:dyDescent="0.25">
      <c r="B34" s="12"/>
      <c r="C34" s="52" t="s">
        <v>444</v>
      </c>
      <c r="D34" s="62"/>
      <c r="E34" s="55">
        <f>+SUM(E10:E33)</f>
        <v>5622.7517968380489</v>
      </c>
      <c r="F34" s="193"/>
    </row>
    <row r="35" spans="2:11" x14ac:dyDescent="0.25">
      <c r="B35" s="17"/>
      <c r="C35" s="18"/>
      <c r="D35" s="18"/>
      <c r="E35" s="18"/>
      <c r="F35" s="19"/>
    </row>
    <row r="36" spans="2:11" x14ac:dyDescent="0.25">
      <c r="B36" s="496" t="s">
        <v>445</v>
      </c>
      <c r="C36" s="497"/>
      <c r="D36" s="13"/>
      <c r="E36" s="13"/>
      <c r="F36" s="14"/>
    </row>
    <row r="37" spans="2:11" x14ac:dyDescent="0.25">
      <c r="B37" s="12"/>
      <c r="C37" s="43"/>
      <c r="D37" s="56"/>
      <c r="E37" s="44" t="s">
        <v>247</v>
      </c>
      <c r="F37" s="16"/>
    </row>
    <row r="38" spans="2:11" x14ac:dyDescent="0.25">
      <c r="B38" s="12"/>
      <c r="C38" s="27" t="s">
        <v>446</v>
      </c>
      <c r="D38" s="92"/>
      <c r="E38" s="85">
        <v>6.3980671351999607</v>
      </c>
      <c r="F38" s="16"/>
    </row>
    <row r="39" spans="2:11" ht="17.25" x14ac:dyDescent="0.3">
      <c r="B39" s="51" t="s">
        <v>439</v>
      </c>
      <c r="C39" s="185" t="s">
        <v>447</v>
      </c>
      <c r="D39" s="188"/>
      <c r="E39" s="187">
        <v>-0.73706757000000034</v>
      </c>
      <c r="F39" s="16"/>
      <c r="H39" s="742"/>
    </row>
    <row r="40" spans="2:11" ht="17.25" x14ac:dyDescent="0.3">
      <c r="B40" s="51" t="s">
        <v>437</v>
      </c>
      <c r="C40" s="12" t="s">
        <v>448</v>
      </c>
      <c r="D40" s="87"/>
      <c r="E40" s="88">
        <v>0</v>
      </c>
      <c r="F40" s="16"/>
      <c r="H40" s="742"/>
    </row>
    <row r="41" spans="2:11" x14ac:dyDescent="0.25">
      <c r="B41" s="12"/>
      <c r="C41" s="52" t="s">
        <v>1044</v>
      </c>
      <c r="D41" s="53"/>
      <c r="E41" s="55">
        <f>+SUM(E38:E40)</f>
        <v>5.6609995651999601</v>
      </c>
      <c r="F41" s="16"/>
    </row>
    <row r="42" spans="2:11" x14ac:dyDescent="0.25">
      <c r="B42" s="12"/>
      <c r="F42" s="16"/>
    </row>
    <row r="43" spans="2:11" ht="44.25" customHeight="1" x14ac:dyDescent="0.25">
      <c r="B43" s="1160" t="s">
        <v>449</v>
      </c>
      <c r="C43" s="1161"/>
      <c r="D43" s="1161"/>
      <c r="E43" s="1161"/>
      <c r="F43" s="1162"/>
    </row>
    <row r="44" spans="2:11" x14ac:dyDescent="0.25">
      <c r="B44" s="17"/>
      <c r="C44" s="18"/>
      <c r="D44" s="18"/>
      <c r="E44" s="18"/>
      <c r="F44" s="19"/>
      <c r="H44" s="148"/>
      <c r="K44" s="147"/>
    </row>
    <row r="45" spans="2:11" ht="18.75" x14ac:dyDescent="0.3">
      <c r="B45" s="1167" t="s">
        <v>450</v>
      </c>
      <c r="C45" s="1168"/>
      <c r="D45" s="1168"/>
      <c r="E45" s="1168"/>
      <c r="F45" s="1169"/>
    </row>
    <row r="46" spans="2:11" ht="45.75" customHeight="1" x14ac:dyDescent="0.25">
      <c r="B46" s="1164" t="s">
        <v>451</v>
      </c>
      <c r="C46" s="1165"/>
      <c r="D46" s="1165"/>
      <c r="E46" s="1165"/>
      <c r="F46" s="1166"/>
      <c r="H46" s="1180"/>
      <c r="I46" s="1180"/>
      <c r="J46" s="1180"/>
      <c r="K46" s="147"/>
    </row>
    <row r="47" spans="2:11" ht="81.75" customHeight="1" x14ac:dyDescent="0.25">
      <c r="B47" s="1135" t="s">
        <v>452</v>
      </c>
      <c r="C47" s="1136"/>
      <c r="D47" s="1136"/>
      <c r="E47" s="1136"/>
      <c r="F47" s="1137"/>
      <c r="H47" s="579"/>
      <c r="I47" s="344"/>
      <c r="J47" s="344"/>
      <c r="K47" s="147"/>
    </row>
    <row r="48" spans="2:11" x14ac:dyDescent="0.25">
      <c r="B48" s="374"/>
      <c r="C48" s="347"/>
      <c r="D48" s="347"/>
      <c r="E48" s="347"/>
      <c r="F48" s="348"/>
      <c r="H48" s="344"/>
      <c r="I48" s="344"/>
      <c r="J48" s="344"/>
      <c r="K48" s="350"/>
    </row>
    <row r="49" spans="2:9" x14ac:dyDescent="0.25">
      <c r="B49" s="376" t="s">
        <v>453</v>
      </c>
      <c r="C49" s="21"/>
      <c r="D49" s="21"/>
      <c r="F49" s="16"/>
    </row>
    <row r="50" spans="2:9" x14ac:dyDescent="0.25">
      <c r="B50" s="12"/>
      <c r="C50" s="200"/>
      <c r="D50" s="201"/>
      <c r="E50" s="109" t="s">
        <v>247</v>
      </c>
      <c r="F50" s="16"/>
    </row>
    <row r="51" spans="2:9" x14ac:dyDescent="0.25">
      <c r="B51" s="12"/>
      <c r="C51" s="27" t="s">
        <v>454</v>
      </c>
      <c r="D51" s="92"/>
      <c r="E51" s="197">
        <v>279.60464655343293</v>
      </c>
      <c r="F51" s="16"/>
      <c r="H51" s="49"/>
    </row>
    <row r="52" spans="2:9" x14ac:dyDescent="0.25">
      <c r="B52" s="51" t="s">
        <v>279</v>
      </c>
      <c r="C52" s="185" t="s">
        <v>455</v>
      </c>
      <c r="D52" s="188"/>
      <c r="E52" s="190">
        <v>1.9953534465670679</v>
      </c>
      <c r="F52" s="16"/>
    </row>
    <row r="53" spans="2:9" x14ac:dyDescent="0.25">
      <c r="B53" s="51" t="s">
        <v>279</v>
      </c>
      <c r="C53" s="12" t="s">
        <v>456</v>
      </c>
      <c r="D53" s="87"/>
      <c r="E53" s="191">
        <v>4.8844633799999988</v>
      </c>
      <c r="F53" s="16"/>
      <c r="I53" s="500"/>
    </row>
    <row r="54" spans="2:9" x14ac:dyDescent="0.25">
      <c r="B54" s="51" t="s">
        <v>437</v>
      </c>
      <c r="C54" s="185" t="s">
        <v>457</v>
      </c>
      <c r="D54" s="188"/>
      <c r="E54" s="192">
        <f>E67</f>
        <v>4.4210959723466559E-2</v>
      </c>
      <c r="F54" s="16"/>
    </row>
    <row r="55" spans="2:9" x14ac:dyDescent="0.25">
      <c r="B55" s="12"/>
      <c r="C55" s="52" t="s">
        <v>348</v>
      </c>
      <c r="D55" s="53"/>
      <c r="E55" s="74">
        <f>+SUM(E51:E54)</f>
        <v>286.52867433972347</v>
      </c>
      <c r="F55" s="16"/>
    </row>
    <row r="57" spans="2:9" ht="69" customHeight="1" x14ac:dyDescent="0.25">
      <c r="B57" s="1160" t="s">
        <v>1083</v>
      </c>
      <c r="C57" s="1161"/>
      <c r="D57" s="1161"/>
      <c r="E57" s="1161"/>
      <c r="F57" s="1162"/>
    </row>
    <row r="58" spans="2:9" x14ac:dyDescent="0.25">
      <c r="B58" s="1160"/>
      <c r="C58" s="1161"/>
      <c r="D58" s="1161"/>
      <c r="E58" s="1161"/>
      <c r="F58" s="1162"/>
    </row>
    <row r="59" spans="2:9" x14ac:dyDescent="0.25">
      <c r="B59" s="12"/>
      <c r="C59" s="33"/>
      <c r="D59" s="93"/>
      <c r="E59" s="93"/>
      <c r="F59" s="16"/>
    </row>
    <row r="60" spans="2:9" x14ac:dyDescent="0.25">
      <c r="B60" s="376" t="s">
        <v>458</v>
      </c>
      <c r="C60" s="21"/>
      <c r="F60" s="16"/>
    </row>
    <row r="61" spans="2:9" x14ac:dyDescent="0.25">
      <c r="B61" s="12"/>
      <c r="C61" s="43"/>
      <c r="D61" s="56"/>
      <c r="E61" s="196" t="s">
        <v>247</v>
      </c>
      <c r="F61" s="16"/>
    </row>
    <row r="62" spans="2:9" x14ac:dyDescent="0.25">
      <c r="B62" s="51" t="s">
        <v>227</v>
      </c>
      <c r="C62" s="27" t="s">
        <v>459</v>
      </c>
      <c r="D62" s="94"/>
      <c r="E62" s="776">
        <v>10.455891974600007</v>
      </c>
      <c r="F62" s="16"/>
      <c r="H62" s="49"/>
    </row>
    <row r="63" spans="2:9" x14ac:dyDescent="0.25">
      <c r="B63" s="51" t="s">
        <v>232</v>
      </c>
      <c r="C63" s="185" t="s">
        <v>460</v>
      </c>
      <c r="D63" s="199">
        <v>4.7300000000000002E-2</v>
      </c>
      <c r="E63" s="194"/>
      <c r="F63" s="16"/>
    </row>
    <row r="64" spans="2:9" x14ac:dyDescent="0.25">
      <c r="B64" s="51" t="s">
        <v>461</v>
      </c>
      <c r="C64" s="12" t="s">
        <v>462</v>
      </c>
      <c r="D64" s="87"/>
      <c r="E64" s="195">
        <f>+E62/$D$63</f>
        <v>221.0547986173363</v>
      </c>
      <c r="F64" s="16"/>
    </row>
    <row r="65" spans="2:10" x14ac:dyDescent="0.25">
      <c r="B65" s="51" t="s">
        <v>344</v>
      </c>
      <c r="C65" s="185" t="s">
        <v>463</v>
      </c>
      <c r="D65" s="199">
        <v>4.7500000000000001E-2</v>
      </c>
      <c r="E65" s="194"/>
      <c r="F65" s="16"/>
      <c r="J65"/>
    </row>
    <row r="66" spans="2:10" x14ac:dyDescent="0.25">
      <c r="B66" s="51" t="s">
        <v>464</v>
      </c>
      <c r="C66" s="12" t="s">
        <v>465</v>
      </c>
      <c r="D66" s="87"/>
      <c r="E66" s="195">
        <f>E64*$D$65</f>
        <v>10.500102934323474</v>
      </c>
      <c r="F66" s="16"/>
    </row>
    <row r="67" spans="2:10" x14ac:dyDescent="0.25">
      <c r="B67" s="51" t="s">
        <v>466</v>
      </c>
      <c r="C67" s="27" t="s">
        <v>457</v>
      </c>
      <c r="D67" s="94"/>
      <c r="E67" s="198">
        <f>+E66-E62</f>
        <v>4.4210959723466559E-2</v>
      </c>
      <c r="F67" s="16"/>
    </row>
    <row r="68" spans="2:10" x14ac:dyDescent="0.25">
      <c r="B68" s="17"/>
      <c r="C68" s="18"/>
      <c r="D68" s="18"/>
      <c r="E68" s="18"/>
      <c r="F68" s="19"/>
      <c r="H68" s="336"/>
    </row>
    <row r="69" spans="2:10" ht="18.75" x14ac:dyDescent="0.3">
      <c r="B69" s="1167" t="s">
        <v>467</v>
      </c>
      <c r="C69" s="1168"/>
      <c r="D69" s="1168"/>
      <c r="E69" s="1168"/>
      <c r="F69" s="1169"/>
    </row>
    <row r="70" spans="2:10" ht="80.25" customHeight="1" x14ac:dyDescent="0.25">
      <c r="B70" s="1164" t="s">
        <v>468</v>
      </c>
      <c r="C70" s="1165"/>
      <c r="D70" s="1165"/>
      <c r="E70" s="1165"/>
      <c r="F70" s="1166"/>
    </row>
    <row r="71" spans="2:10" ht="57.75" customHeight="1" x14ac:dyDescent="0.25">
      <c r="B71" s="1135" t="s">
        <v>469</v>
      </c>
      <c r="C71" s="1136"/>
      <c r="D71" s="1136"/>
      <c r="E71" s="1136"/>
      <c r="F71" s="1137"/>
      <c r="H71" s="49"/>
    </row>
    <row r="72" spans="2:10" x14ac:dyDescent="0.25">
      <c r="B72" s="374"/>
      <c r="C72" s="347"/>
      <c r="D72" s="347"/>
      <c r="E72" s="347"/>
      <c r="F72" s="348"/>
    </row>
    <row r="73" spans="2:10" x14ac:dyDescent="0.25">
      <c r="B73" s="376" t="s">
        <v>470</v>
      </c>
      <c r="C73" s="21"/>
      <c r="F73" s="16"/>
    </row>
    <row r="74" spans="2:10" x14ac:dyDescent="0.25">
      <c r="B74" s="12"/>
      <c r="C74" s="43"/>
      <c r="D74" s="56"/>
      <c r="E74" s="44" t="s">
        <v>247</v>
      </c>
      <c r="F74" s="16"/>
    </row>
    <row r="75" spans="2:10" x14ac:dyDescent="0.25">
      <c r="B75" s="51" t="s">
        <v>227</v>
      </c>
      <c r="C75" s="315" t="s">
        <v>305</v>
      </c>
      <c r="D75" s="322"/>
      <c r="E75" s="601">
        <f>E10</f>
        <v>5224.3984489002996</v>
      </c>
      <c r="F75" s="16"/>
    </row>
    <row r="76" spans="2:10" x14ac:dyDescent="0.25">
      <c r="B76" s="51" t="s">
        <v>303</v>
      </c>
      <c r="C76" s="1085" t="s">
        <v>1045</v>
      </c>
      <c r="D76" s="1086"/>
      <c r="E76" s="1087">
        <v>32.439772187804223</v>
      </c>
      <c r="F76" s="16"/>
    </row>
    <row r="77" spans="2:10" x14ac:dyDescent="0.25">
      <c r="B77" s="51" t="s">
        <v>232</v>
      </c>
      <c r="C77" s="4" t="s">
        <v>440</v>
      </c>
      <c r="D77" s="379"/>
      <c r="E77" s="599">
        <f>E27</f>
        <v>-6.3980671351999607</v>
      </c>
      <c r="F77" s="16"/>
    </row>
    <row r="78" spans="2:10" x14ac:dyDescent="0.25">
      <c r="B78" s="51" t="s">
        <v>471</v>
      </c>
      <c r="C78" s="185" t="s">
        <v>441</v>
      </c>
      <c r="D78" s="797"/>
      <c r="E78" s="190">
        <f>E28</f>
        <v>0</v>
      </c>
      <c r="F78" s="16"/>
    </row>
    <row r="79" spans="2:10" x14ac:dyDescent="0.25">
      <c r="B79" s="51" t="s">
        <v>344</v>
      </c>
      <c r="C79" s="307" t="s">
        <v>348</v>
      </c>
      <c r="D79" s="798"/>
      <c r="E79" s="796">
        <v>-272.4909917</v>
      </c>
      <c r="F79" s="16"/>
    </row>
    <row r="80" spans="2:10" x14ac:dyDescent="0.25">
      <c r="B80" s="51" t="s">
        <v>1103</v>
      </c>
      <c r="C80" s="795" t="s">
        <v>472</v>
      </c>
      <c r="D80" s="379"/>
      <c r="E80" s="193">
        <f>ROUND(+E75+E76+E77+E78+E79,0)</f>
        <v>4978</v>
      </c>
      <c r="F80" s="16"/>
    </row>
    <row r="81" spans="2:6" x14ac:dyDescent="0.25">
      <c r="B81" s="51" t="s">
        <v>351</v>
      </c>
      <c r="C81" s="284" t="s">
        <v>473</v>
      </c>
      <c r="D81" s="600">
        <f>ROUND(IF('1_Inputs'!D30&lt;&gt;0,'1_Inputs'!D30/'1_Inputs'!D31-1, 0),3)</f>
        <v>4.1000000000000002E-2</v>
      </c>
      <c r="E81" s="323"/>
      <c r="F81" s="16"/>
    </row>
    <row r="82" spans="2:6" x14ac:dyDescent="0.25">
      <c r="B82" s="51" t="s">
        <v>474</v>
      </c>
      <c r="C82" s="320" t="s">
        <v>475</v>
      </c>
      <c r="D82" s="325"/>
      <c r="E82" s="324">
        <f>E80*D81</f>
        <v>204.09800000000001</v>
      </c>
      <c r="F82" s="16"/>
    </row>
    <row r="83" spans="2:6" x14ac:dyDescent="0.25">
      <c r="B83" s="12"/>
      <c r="C83" s="33"/>
      <c r="D83" s="321"/>
      <c r="E83" s="93"/>
      <c r="F83" s="16"/>
    </row>
    <row r="84" spans="2:6" x14ac:dyDescent="0.25">
      <c r="B84" s="17"/>
      <c r="C84" s="492"/>
      <c r="D84" s="498"/>
      <c r="E84" s="499"/>
      <c r="F84" s="19"/>
    </row>
    <row r="85" spans="2:6" x14ac:dyDescent="0.25">
      <c r="B85" s="153" t="str">
        <f>'Directors Certificate'!B57</f>
        <v>Transpower's Annual Compliance Statement for the year ending 30 June 2026</v>
      </c>
      <c r="C85" s="151"/>
      <c r="D85" s="151"/>
      <c r="E85" s="151"/>
      <c r="F85" s="152"/>
    </row>
    <row r="88" spans="2:6" ht="30" customHeight="1" x14ac:dyDescent="0.25">
      <c r="B88" s="1163"/>
      <c r="C88" s="1163"/>
      <c r="D88" s="1163"/>
      <c r="E88" s="1163"/>
      <c r="F88" s="1163"/>
    </row>
  </sheetData>
  <mergeCells count="16">
    <mergeCell ref="B2:F2"/>
    <mergeCell ref="B5:F5"/>
    <mergeCell ref="H5:N5"/>
    <mergeCell ref="B4:F4"/>
    <mergeCell ref="B46:F46"/>
    <mergeCell ref="B6:F6"/>
    <mergeCell ref="H46:J46"/>
    <mergeCell ref="B45:F45"/>
    <mergeCell ref="B43:F43"/>
    <mergeCell ref="B47:F47"/>
    <mergeCell ref="B57:F57"/>
    <mergeCell ref="B58:F58"/>
    <mergeCell ref="B88:F88"/>
    <mergeCell ref="B71:F71"/>
    <mergeCell ref="B70:F70"/>
    <mergeCell ref="B69:F69"/>
  </mergeCells>
  <hyperlinks>
    <hyperlink ref="B2" location="Contents!A1" display="A summary of pass-through costs and recoverable costs for the disclosure year as set out in Schedule H" xr:uid="{48F9F187-722B-423B-944D-85DC573F8972}"/>
    <hyperlink ref="B2:F2" location="'Table of Contents'!A1" display="'Table of Contents'!A1" xr:uid="{44A6487F-383A-4435-924C-C91D977E7783}"/>
  </hyperlinks>
  <pageMargins left="0.82677165354330717" right="0.23622047244094491" top="0.74803149606299213" bottom="0.74803149606299213" header="0.31496062992125984" footer="0.31496062992125984"/>
  <pageSetup paperSize="8" fitToHeight="0" orientation="portrait" r:id="rId1"/>
  <headerFooter>
    <oddHeader>&amp;F</oddHeader>
    <oddFooter>&amp;A&amp;RPage &amp;P</oddFooter>
  </headerFooter>
  <rowBreaks count="2" manualBreakCount="2">
    <brk id="35" min="1" max="5" man="1"/>
    <brk id="68" min="1" max="5" man="1"/>
  </rowBreaks>
  <colBreaks count="1" manualBreakCount="1">
    <brk id="5" min="1" max="79"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175C-5ECB-4615-9930-F8E84D65D204}">
  <sheetPr>
    <tabColor theme="3" tint="0.249977111117893"/>
  </sheetPr>
  <dimension ref="B2:K49"/>
  <sheetViews>
    <sheetView view="pageBreakPreview" zoomScale="110" zoomScaleNormal="100" zoomScaleSheetLayoutView="85" workbookViewId="0"/>
  </sheetViews>
  <sheetFormatPr defaultColWidth="9.140625" defaultRowHeight="15" x14ac:dyDescent="0.25"/>
  <cols>
    <col min="1" max="1" width="5.28515625" style="1" customWidth="1"/>
    <col min="2" max="2" width="16" style="1" customWidth="1"/>
    <col min="3" max="8" width="19" style="1" customWidth="1"/>
    <col min="9" max="9" width="23.5703125" style="1" customWidth="1"/>
    <col min="10" max="10" width="4.85546875" style="1" customWidth="1"/>
    <col min="11" max="16384" width="9.140625" style="1"/>
  </cols>
  <sheetData>
    <row r="2" spans="2:10" ht="51" customHeight="1" x14ac:dyDescent="0.25">
      <c r="B2" s="1181" t="s">
        <v>476</v>
      </c>
      <c r="C2" s="1182"/>
      <c r="D2" s="1182"/>
      <c r="E2" s="1182"/>
      <c r="F2" s="1182"/>
      <c r="G2" s="1182"/>
      <c r="H2" s="1182"/>
      <c r="I2" s="156"/>
      <c r="J2" s="157"/>
    </row>
    <row r="3" spans="2:10" ht="21.75" customHeight="1" x14ac:dyDescent="0.25">
      <c r="B3" s="175"/>
      <c r="C3" s="175"/>
      <c r="D3" s="175"/>
      <c r="E3" s="175"/>
      <c r="F3" s="158"/>
      <c r="G3" s="158"/>
      <c r="H3" s="232" t="s">
        <v>3</v>
      </c>
      <c r="I3" s="734">
        <f>+'Directors Certificate'!K3</f>
        <v>46203</v>
      </c>
      <c r="J3" s="160"/>
    </row>
    <row r="4" spans="2:10" ht="18.75" x14ac:dyDescent="0.3">
      <c r="B4" s="257" t="s">
        <v>477</v>
      </c>
      <c r="C4" s="258"/>
      <c r="D4" s="258"/>
      <c r="E4" s="258"/>
      <c r="F4" s="258"/>
      <c r="G4" s="258"/>
      <c r="H4" s="258"/>
      <c r="I4" s="258"/>
      <c r="J4" s="280"/>
    </row>
    <row r="5" spans="2:10" ht="75.75" customHeight="1" x14ac:dyDescent="0.25">
      <c r="B5" s="1164" t="s">
        <v>478</v>
      </c>
      <c r="C5" s="1165"/>
      <c r="D5" s="1165"/>
      <c r="E5" s="1165"/>
      <c r="F5" s="1165"/>
      <c r="G5" s="1165"/>
      <c r="H5" s="1165"/>
      <c r="I5" s="1165"/>
      <c r="J5" s="1166"/>
    </row>
    <row r="6" spans="2:10" ht="30.95" customHeight="1" x14ac:dyDescent="0.25">
      <c r="B6" s="1183" t="s">
        <v>1091</v>
      </c>
      <c r="C6" s="1184"/>
      <c r="D6" s="1184"/>
      <c r="E6" s="1184"/>
      <c r="F6" s="1184"/>
      <c r="G6" s="1184"/>
      <c r="H6" s="1184"/>
      <c r="I6" s="1184"/>
      <c r="J6" s="1185"/>
    </row>
    <row r="7" spans="2:10" ht="15" customHeight="1" x14ac:dyDescent="0.25">
      <c r="B7" s="1135" t="s">
        <v>479</v>
      </c>
      <c r="C7" s="1136"/>
      <c r="D7" s="1136"/>
      <c r="E7" s="1136"/>
      <c r="F7" s="1136"/>
      <c r="G7" s="1136"/>
      <c r="H7" s="1136"/>
      <c r="I7" s="1136"/>
      <c r="J7" s="1137"/>
    </row>
    <row r="8" spans="2:10" x14ac:dyDescent="0.25">
      <c r="B8" s="12"/>
      <c r="J8" s="16"/>
    </row>
    <row r="9" spans="2:10" x14ac:dyDescent="0.25">
      <c r="B9" s="376" t="s">
        <v>480</v>
      </c>
      <c r="J9" s="16"/>
    </row>
    <row r="10" spans="2:10" x14ac:dyDescent="0.25">
      <c r="B10" s="20" t="s">
        <v>481</v>
      </c>
      <c r="C10" s="21"/>
      <c r="J10" s="16"/>
    </row>
    <row r="11" spans="2:10" ht="109.5" customHeight="1" x14ac:dyDescent="0.25">
      <c r="B11" s="12"/>
      <c r="C11" s="80" t="s">
        <v>482</v>
      </c>
      <c r="D11" s="81" t="s">
        <v>483</v>
      </c>
      <c r="E11" s="81" t="s">
        <v>484</v>
      </c>
      <c r="F11" s="81" t="s">
        <v>485</v>
      </c>
      <c r="G11" s="81" t="s">
        <v>486</v>
      </c>
      <c r="H11" s="81" t="s">
        <v>487</v>
      </c>
      <c r="I11" s="81" t="s">
        <v>488</v>
      </c>
      <c r="J11" s="16"/>
    </row>
    <row r="12" spans="2:10" x14ac:dyDescent="0.25">
      <c r="B12" s="12"/>
      <c r="C12" s="2" t="s">
        <v>261</v>
      </c>
      <c r="D12" s="3" t="s">
        <v>262</v>
      </c>
      <c r="E12" s="2" t="s">
        <v>263</v>
      </c>
      <c r="F12" s="2" t="s">
        <v>264</v>
      </c>
      <c r="G12" s="2" t="s">
        <v>265</v>
      </c>
      <c r="H12" s="3" t="s">
        <v>266</v>
      </c>
      <c r="I12" s="3" t="s">
        <v>267</v>
      </c>
      <c r="J12" s="16"/>
    </row>
    <row r="13" spans="2:10" x14ac:dyDescent="0.25">
      <c r="B13" s="12"/>
      <c r="C13" s="82">
        <v>46203</v>
      </c>
      <c r="D13" s="83">
        <v>0</v>
      </c>
      <c r="E13" s="84"/>
      <c r="F13" s="84"/>
      <c r="G13" s="84"/>
      <c r="H13" s="84"/>
      <c r="I13" s="531">
        <f>SUM(D13:H13)</f>
        <v>0</v>
      </c>
      <c r="J13" s="16"/>
    </row>
    <row r="14" spans="2:10" x14ac:dyDescent="0.25">
      <c r="B14" s="12"/>
      <c r="C14" s="281">
        <v>46568</v>
      </c>
      <c r="D14" s="282">
        <v>0</v>
      </c>
      <c r="E14" s="282">
        <v>0</v>
      </c>
      <c r="F14" s="283"/>
      <c r="G14" s="283"/>
      <c r="H14" s="283"/>
      <c r="I14" s="532">
        <f t="shared" ref="I14:I17" si="0">SUM(D14:H14)</f>
        <v>0</v>
      </c>
      <c r="J14" s="16"/>
    </row>
    <row r="15" spans="2:10" x14ac:dyDescent="0.25">
      <c r="B15" s="12"/>
      <c r="C15" s="82">
        <v>46934</v>
      </c>
      <c r="D15" s="83">
        <v>0</v>
      </c>
      <c r="E15" s="83">
        <v>0</v>
      </c>
      <c r="F15" s="83">
        <v>0</v>
      </c>
      <c r="G15" s="84"/>
      <c r="H15" s="84"/>
      <c r="I15" s="531">
        <f t="shared" si="0"/>
        <v>0</v>
      </c>
      <c r="J15" s="16"/>
    </row>
    <row r="16" spans="2:10" x14ac:dyDescent="0.25">
      <c r="B16" s="12"/>
      <c r="C16" s="281">
        <v>47299</v>
      </c>
      <c r="D16" s="282">
        <v>0</v>
      </c>
      <c r="E16" s="282">
        <v>0</v>
      </c>
      <c r="F16" s="282">
        <v>0</v>
      </c>
      <c r="G16" s="282">
        <v>0</v>
      </c>
      <c r="H16" s="283"/>
      <c r="I16" s="532">
        <f t="shared" si="0"/>
        <v>0</v>
      </c>
      <c r="J16" s="16"/>
    </row>
    <row r="17" spans="2:11" x14ac:dyDescent="0.25">
      <c r="B17" s="12"/>
      <c r="C17" s="202">
        <v>47664</v>
      </c>
      <c r="D17" s="203">
        <v>0</v>
      </c>
      <c r="E17" s="203">
        <v>0</v>
      </c>
      <c r="F17" s="203">
        <v>0</v>
      </c>
      <c r="G17" s="203">
        <v>0</v>
      </c>
      <c r="H17" s="203">
        <v>0</v>
      </c>
      <c r="I17" s="533">
        <f t="shared" si="0"/>
        <v>0</v>
      </c>
      <c r="J17" s="16"/>
    </row>
    <row r="18" spans="2:11" x14ac:dyDescent="0.25">
      <c r="B18" s="12"/>
      <c r="J18" s="16"/>
    </row>
    <row r="19" spans="2:11" x14ac:dyDescent="0.25">
      <c r="B19" s="376" t="s">
        <v>489</v>
      </c>
      <c r="J19" s="16"/>
    </row>
    <row r="20" spans="2:11" x14ac:dyDescent="0.25">
      <c r="B20" s="20" t="s">
        <v>490</v>
      </c>
      <c r="C20" s="21"/>
      <c r="J20" s="16"/>
    </row>
    <row r="21" spans="2:11" ht="119.25" customHeight="1" x14ac:dyDescent="0.25">
      <c r="B21" s="12"/>
      <c r="C21" s="8" t="s">
        <v>482</v>
      </c>
      <c r="D21" s="35" t="s">
        <v>491</v>
      </c>
      <c r="E21" s="35" t="s">
        <v>492</v>
      </c>
      <c r="F21" s="35" t="s">
        <v>493</v>
      </c>
      <c r="G21" s="35" t="s">
        <v>494</v>
      </c>
      <c r="H21" s="35" t="s">
        <v>495</v>
      </c>
      <c r="I21" s="35" t="s">
        <v>496</v>
      </c>
      <c r="J21" s="16"/>
    </row>
    <row r="22" spans="2:11" x14ac:dyDescent="0.25">
      <c r="B22" s="12"/>
      <c r="C22" s="2" t="s">
        <v>261</v>
      </c>
      <c r="D22" s="3" t="s">
        <v>262</v>
      </c>
      <c r="E22" s="2" t="s">
        <v>263</v>
      </c>
      <c r="F22" s="2" t="s">
        <v>264</v>
      </c>
      <c r="G22" s="2" t="s">
        <v>265</v>
      </c>
      <c r="H22" s="3" t="s">
        <v>266</v>
      </c>
      <c r="I22" s="3" t="s">
        <v>267</v>
      </c>
      <c r="J22" s="16"/>
    </row>
    <row r="23" spans="2:11" x14ac:dyDescent="0.25">
      <c r="B23" s="12"/>
      <c r="C23" s="82">
        <v>46203</v>
      </c>
      <c r="D23" s="83">
        <v>460.52916111523689</v>
      </c>
      <c r="E23" s="84"/>
      <c r="F23" s="84"/>
      <c r="G23" s="84"/>
      <c r="H23" s="84"/>
      <c r="I23" s="531">
        <f>+SUM(D23:H23)</f>
        <v>460.52916111523689</v>
      </c>
      <c r="J23" s="16"/>
      <c r="K23" s="49"/>
    </row>
    <row r="24" spans="2:11" x14ac:dyDescent="0.25">
      <c r="B24" s="12"/>
      <c r="C24" s="281">
        <v>46568</v>
      </c>
      <c r="D24" s="282">
        <v>585.41122947325584</v>
      </c>
      <c r="E24" s="282">
        <v>29.40260588474257</v>
      </c>
      <c r="F24" s="282">
        <v>0</v>
      </c>
      <c r="G24" s="283"/>
      <c r="H24" s="283"/>
      <c r="I24" s="532">
        <f t="shared" ref="I24:I27" si="1">+SUM(D24:H24)</f>
        <v>614.81383535799841</v>
      </c>
      <c r="J24" s="16"/>
    </row>
    <row r="25" spans="2:11" x14ac:dyDescent="0.25">
      <c r="B25" s="12"/>
      <c r="C25" s="82">
        <v>46934</v>
      </c>
      <c r="D25" s="83">
        <v>436.99857088412034</v>
      </c>
      <c r="E25" s="83">
        <v>0</v>
      </c>
      <c r="F25" s="83">
        <v>32.208568000000014</v>
      </c>
      <c r="G25" s="84"/>
      <c r="H25" s="84"/>
      <c r="I25" s="531">
        <f t="shared" si="1"/>
        <v>469.20713888412035</v>
      </c>
      <c r="J25" s="16"/>
    </row>
    <row r="26" spans="2:11" x14ac:dyDescent="0.25">
      <c r="B26" s="12"/>
      <c r="C26" s="281">
        <v>47299</v>
      </c>
      <c r="D26" s="282">
        <v>437.2001606506746</v>
      </c>
      <c r="E26" s="282">
        <v>0</v>
      </c>
      <c r="F26" s="282">
        <v>0</v>
      </c>
      <c r="G26" s="282">
        <v>0</v>
      </c>
      <c r="H26" s="283"/>
      <c r="I26" s="532">
        <f t="shared" si="1"/>
        <v>437.2001606506746</v>
      </c>
      <c r="J26" s="16"/>
    </row>
    <row r="27" spans="2:11" x14ac:dyDescent="0.25">
      <c r="B27" s="12"/>
      <c r="C27" s="202">
        <v>47664</v>
      </c>
      <c r="D27" s="203">
        <v>630.37971773888694</v>
      </c>
      <c r="E27" s="203">
        <v>0</v>
      </c>
      <c r="F27" s="203">
        <v>50.918542000000002</v>
      </c>
      <c r="G27" s="203">
        <v>0</v>
      </c>
      <c r="H27" s="203">
        <v>0</v>
      </c>
      <c r="I27" s="533">
        <f t="shared" si="1"/>
        <v>681.29825973888694</v>
      </c>
      <c r="J27" s="16"/>
    </row>
    <row r="28" spans="2:11" x14ac:dyDescent="0.25">
      <c r="B28" s="12"/>
      <c r="J28" s="16"/>
    </row>
    <row r="29" spans="2:11" x14ac:dyDescent="0.25">
      <c r="B29" s="376" t="s">
        <v>497</v>
      </c>
      <c r="J29" s="16"/>
    </row>
    <row r="30" spans="2:11" x14ac:dyDescent="0.25">
      <c r="B30" s="20" t="s">
        <v>498</v>
      </c>
      <c r="C30" s="21"/>
      <c r="J30" s="16"/>
    </row>
    <row r="31" spans="2:11" ht="117" customHeight="1" x14ac:dyDescent="0.25">
      <c r="B31" s="12"/>
      <c r="C31" s="8" t="s">
        <v>482</v>
      </c>
      <c r="D31" s="35" t="s">
        <v>483</v>
      </c>
      <c r="E31" s="35" t="s">
        <v>484</v>
      </c>
      <c r="F31" s="35" t="s">
        <v>485</v>
      </c>
      <c r="G31" s="35" t="s">
        <v>486</v>
      </c>
      <c r="H31" s="35" t="s">
        <v>487</v>
      </c>
      <c r="I31" s="35" t="s">
        <v>488</v>
      </c>
      <c r="J31" s="16"/>
    </row>
    <row r="32" spans="2:11" x14ac:dyDescent="0.25">
      <c r="B32" s="12"/>
      <c r="C32" s="2" t="s">
        <v>261</v>
      </c>
      <c r="D32" s="3" t="s">
        <v>262</v>
      </c>
      <c r="E32" s="2" t="s">
        <v>263</v>
      </c>
      <c r="F32" s="2" t="s">
        <v>264</v>
      </c>
      <c r="G32" s="2" t="s">
        <v>265</v>
      </c>
      <c r="H32" s="3" t="s">
        <v>266</v>
      </c>
      <c r="I32" s="3" t="s">
        <v>267</v>
      </c>
      <c r="J32" s="16"/>
    </row>
    <row r="33" spans="2:11" x14ac:dyDescent="0.25">
      <c r="B33" s="12"/>
      <c r="C33" s="82">
        <v>46203</v>
      </c>
      <c r="D33" s="83">
        <v>0</v>
      </c>
      <c r="E33" s="84"/>
      <c r="F33" s="84"/>
      <c r="G33" s="84"/>
      <c r="H33" s="84"/>
      <c r="I33" s="531">
        <f>+SUM(D33:H33)</f>
        <v>0</v>
      </c>
      <c r="J33" s="16"/>
    </row>
    <row r="34" spans="2:11" x14ac:dyDescent="0.25">
      <c r="B34" s="12"/>
      <c r="C34" s="281">
        <v>46568</v>
      </c>
      <c r="D34" s="282">
        <v>0</v>
      </c>
      <c r="E34" s="282">
        <v>0</v>
      </c>
      <c r="F34" s="283"/>
      <c r="G34" s="283"/>
      <c r="H34" s="283"/>
      <c r="I34" s="532">
        <f t="shared" ref="I34:I37" si="2">+SUM(D34:H34)</f>
        <v>0</v>
      </c>
      <c r="J34" s="16"/>
    </row>
    <row r="35" spans="2:11" x14ac:dyDescent="0.25">
      <c r="B35" s="12"/>
      <c r="C35" s="82">
        <v>46934</v>
      </c>
      <c r="D35" s="83">
        <v>0</v>
      </c>
      <c r="E35" s="83">
        <v>0</v>
      </c>
      <c r="F35" s="83">
        <v>0</v>
      </c>
      <c r="G35" s="84"/>
      <c r="H35" s="84"/>
      <c r="I35" s="531">
        <f t="shared" si="2"/>
        <v>0</v>
      </c>
      <c r="J35" s="16"/>
    </row>
    <row r="36" spans="2:11" x14ac:dyDescent="0.25">
      <c r="B36" s="12"/>
      <c r="C36" s="281">
        <v>47299</v>
      </c>
      <c r="D36" s="282">
        <v>0</v>
      </c>
      <c r="E36" s="282">
        <v>0</v>
      </c>
      <c r="F36" s="282">
        <v>0</v>
      </c>
      <c r="G36" s="282">
        <v>0</v>
      </c>
      <c r="H36" s="283"/>
      <c r="I36" s="532">
        <f t="shared" si="2"/>
        <v>0</v>
      </c>
      <c r="J36" s="16"/>
    </row>
    <row r="37" spans="2:11" x14ac:dyDescent="0.25">
      <c r="B37" s="12"/>
      <c r="C37" s="202">
        <v>47664</v>
      </c>
      <c r="D37" s="203">
        <v>0</v>
      </c>
      <c r="E37" s="203">
        <v>0</v>
      </c>
      <c r="F37" s="203">
        <v>0</v>
      </c>
      <c r="G37" s="203">
        <v>0</v>
      </c>
      <c r="H37" s="203">
        <v>0</v>
      </c>
      <c r="I37" s="533">
        <f t="shared" si="2"/>
        <v>0</v>
      </c>
      <c r="J37" s="16"/>
    </row>
    <row r="38" spans="2:11" x14ac:dyDescent="0.25">
      <c r="B38" s="12"/>
      <c r="J38" s="16"/>
    </row>
    <row r="39" spans="2:11" x14ac:dyDescent="0.25">
      <c r="B39" s="376" t="s">
        <v>499</v>
      </c>
      <c r="J39" s="16"/>
    </row>
    <row r="40" spans="2:11" x14ac:dyDescent="0.25">
      <c r="B40" s="20" t="s">
        <v>500</v>
      </c>
      <c r="C40" s="21"/>
      <c r="J40" s="16"/>
      <c r="K40" s="41"/>
    </row>
    <row r="41" spans="2:11" ht="120.75" customHeight="1" x14ac:dyDescent="0.25">
      <c r="B41" s="12"/>
      <c r="C41" s="8" t="s">
        <v>482</v>
      </c>
      <c r="D41" s="35" t="s">
        <v>491</v>
      </c>
      <c r="E41" s="35" t="s">
        <v>492</v>
      </c>
      <c r="F41" s="35" t="s">
        <v>493</v>
      </c>
      <c r="G41" s="35" t="s">
        <v>494</v>
      </c>
      <c r="H41" s="35" t="s">
        <v>495</v>
      </c>
      <c r="I41" s="35" t="s">
        <v>496</v>
      </c>
      <c r="J41" s="16"/>
    </row>
    <row r="42" spans="2:11" x14ac:dyDescent="0.25">
      <c r="B42" s="12"/>
      <c r="C42" s="2" t="s">
        <v>261</v>
      </c>
      <c r="D42" s="3" t="s">
        <v>262</v>
      </c>
      <c r="E42" s="2" t="s">
        <v>263</v>
      </c>
      <c r="F42" s="2" t="s">
        <v>264</v>
      </c>
      <c r="G42" s="2" t="s">
        <v>265</v>
      </c>
      <c r="H42" s="3" t="s">
        <v>266</v>
      </c>
      <c r="I42" s="3" t="s">
        <v>267</v>
      </c>
      <c r="J42" s="16"/>
    </row>
    <row r="43" spans="2:11" x14ac:dyDescent="0.25">
      <c r="B43" s="12"/>
      <c r="C43" s="82">
        <v>46203</v>
      </c>
      <c r="D43" s="83">
        <v>490.20489347952451</v>
      </c>
      <c r="E43" s="84"/>
      <c r="F43" s="83">
        <v>2.2999999999999545</v>
      </c>
      <c r="G43" s="84"/>
      <c r="H43" s="84"/>
      <c r="I43" s="531">
        <f>+SUM(D43:H43)</f>
        <v>492.50489347952447</v>
      </c>
      <c r="J43" s="16"/>
    </row>
    <row r="44" spans="2:11" x14ac:dyDescent="0.25">
      <c r="B44" s="12"/>
      <c r="C44" s="281">
        <v>46568</v>
      </c>
      <c r="D44" s="282">
        <v>508.81244175853647</v>
      </c>
      <c r="E44" s="282">
        <v>29.440978482243736</v>
      </c>
      <c r="F44" s="282">
        <v>9.7000000000000455</v>
      </c>
      <c r="G44" s="283"/>
      <c r="H44" s="283"/>
      <c r="I44" s="532">
        <f t="shared" ref="I44:I47" si="3">+SUM(D44:H44)</f>
        <v>547.95342024078025</v>
      </c>
      <c r="J44" s="16"/>
    </row>
    <row r="45" spans="2:11" x14ac:dyDescent="0.25">
      <c r="B45" s="12"/>
      <c r="C45" s="82">
        <v>46934</v>
      </c>
      <c r="D45" s="83">
        <v>449.43424507180691</v>
      </c>
      <c r="E45" s="83">
        <v>0</v>
      </c>
      <c r="F45" s="83">
        <v>59.808568000000037</v>
      </c>
      <c r="G45" s="84"/>
      <c r="H45" s="84"/>
      <c r="I45" s="531">
        <f t="shared" si="3"/>
        <v>509.24281307180695</v>
      </c>
      <c r="J45" s="16"/>
      <c r="K45" s="41"/>
    </row>
    <row r="46" spans="2:11" x14ac:dyDescent="0.25">
      <c r="B46" s="12"/>
      <c r="C46" s="281">
        <v>47299</v>
      </c>
      <c r="D46" s="282">
        <v>451.06085156935615</v>
      </c>
      <c r="E46" s="282">
        <v>0</v>
      </c>
      <c r="F46" s="282">
        <v>10.799999999999955</v>
      </c>
      <c r="G46" s="282">
        <v>0</v>
      </c>
      <c r="H46" s="283"/>
      <c r="I46" s="532">
        <f t="shared" si="3"/>
        <v>461.8608515693561</v>
      </c>
      <c r="J46" s="16"/>
      <c r="K46" s="41"/>
    </row>
    <row r="47" spans="2:11" x14ac:dyDescent="0.25">
      <c r="B47" s="12"/>
      <c r="C47" s="202">
        <v>47664</v>
      </c>
      <c r="D47" s="203">
        <v>466.63713971340673</v>
      </c>
      <c r="E47" s="203">
        <v>0</v>
      </c>
      <c r="F47" s="203">
        <v>0</v>
      </c>
      <c r="G47" s="203">
        <v>0</v>
      </c>
      <c r="H47" s="203">
        <v>0</v>
      </c>
      <c r="I47" s="533">
        <f t="shared" si="3"/>
        <v>466.63713971340673</v>
      </c>
      <c r="J47" s="16"/>
      <c r="K47" s="41"/>
    </row>
    <row r="48" spans="2:11" ht="15" customHeight="1" x14ac:dyDescent="0.25">
      <c r="B48" s="17"/>
      <c r="C48" s="18"/>
      <c r="D48" s="18"/>
      <c r="E48" s="18"/>
      <c r="F48" s="18"/>
      <c r="G48" s="18"/>
      <c r="H48" s="18"/>
      <c r="I48" s="18"/>
      <c r="J48" s="19"/>
    </row>
    <row r="49" spans="2:10" x14ac:dyDescent="0.25">
      <c r="B49" s="153" t="str">
        <f>'Directors Certificate'!B57</f>
        <v>Transpower's Annual Compliance Statement for the year ending 30 June 2026</v>
      </c>
      <c r="C49" s="151"/>
      <c r="D49" s="151"/>
      <c r="E49" s="151"/>
      <c r="F49" s="151"/>
      <c r="G49" s="151"/>
      <c r="H49" s="151"/>
      <c r="I49" s="151"/>
      <c r="J49" s="151"/>
    </row>
  </sheetData>
  <mergeCells count="4">
    <mergeCell ref="B2:H2"/>
    <mergeCell ref="B5:J5"/>
    <mergeCell ref="B7:J7"/>
    <mergeCell ref="B6:J6"/>
  </mergeCells>
  <hyperlinks>
    <hyperlink ref="B2" location="Contents!A1" display="A summary of pass-through costs and recoverable costs for the disclosure year as set out in Schedule H" xr:uid="{3C7D8219-1E07-4C46-99C3-64A03D223907}"/>
  </hyperlinks>
  <pageMargins left="0.78740157480314965" right="0.23622047244094491" top="0.74803149606299213" bottom="0.74803149606299213" header="0.31496062992125984" footer="0.31496062992125984"/>
  <pageSetup paperSize="8" scale="85" orientation="landscape" r:id="rId1"/>
  <headerFooter>
    <oddHeader>&amp;F</oddHeader>
    <oddFooter>&amp;A&amp;RPage &amp;P</oddFooter>
  </headerFooter>
  <ignoredErrors>
    <ignoredError sqref="I43:I47"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8FD95-3C1C-4497-8694-2BD2D718EE5E}">
  <sheetPr>
    <tabColor theme="8" tint="0.79998168889431442"/>
  </sheetPr>
  <dimension ref="A1"/>
  <sheetViews>
    <sheetView workbookViewId="0"/>
  </sheetViews>
  <sheetFormatPr defaultRowHeight="15" x14ac:dyDescent="0.25"/>
  <sheetData/>
  <pageMargins left="0.7" right="0.7" top="0.75" bottom="0.75" header="0.3" footer="0.3"/>
  <customProperties>
    <customPr name="CafeStyleVersion"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B5231-A783-4F18-8D20-0916E30C2EBE}">
  <sheetPr>
    <tabColor theme="3" tint="0.249977111117893"/>
  </sheetPr>
  <dimension ref="B1:K71"/>
  <sheetViews>
    <sheetView view="pageBreakPreview" zoomScale="85" zoomScaleNormal="100" zoomScaleSheetLayoutView="85" workbookViewId="0"/>
  </sheetViews>
  <sheetFormatPr defaultColWidth="9.140625" defaultRowHeight="12.75" x14ac:dyDescent="0.2"/>
  <cols>
    <col min="1" max="2" width="9.140625" style="5"/>
    <col min="3" max="3" width="23.5703125" style="5" customWidth="1"/>
    <col min="4" max="4" width="45.140625" style="5" customWidth="1"/>
    <col min="5" max="5" width="19.140625" style="5" customWidth="1"/>
    <col min="6" max="6" width="9.140625" style="5" bestFit="1" customWidth="1"/>
    <col min="7" max="9" width="9.85546875" style="5" bestFit="1" customWidth="1"/>
    <col min="10" max="10" width="12.140625" style="5" customWidth="1"/>
    <col min="11" max="11" width="9.85546875" style="5" customWidth="1"/>
    <col min="12" max="16384" width="9.140625" style="5"/>
  </cols>
  <sheetData>
    <row r="1" spans="2:11" s="129" customFormat="1" ht="11.25" x14ac:dyDescent="0.2"/>
    <row r="2" spans="2:11" s="129" customFormat="1" ht="51.75" customHeight="1" x14ac:dyDescent="0.2">
      <c r="B2" s="1120" t="s">
        <v>501</v>
      </c>
      <c r="C2" s="1121"/>
      <c r="D2" s="1121"/>
      <c r="E2" s="1121"/>
      <c r="F2" s="1121"/>
      <c r="G2" s="1121"/>
      <c r="H2" s="222"/>
      <c r="I2" s="222"/>
      <c r="J2" s="222"/>
      <c r="K2" s="223"/>
    </row>
    <row r="3" spans="2:11" s="129" customFormat="1" ht="26.25" customHeight="1" x14ac:dyDescent="0.2">
      <c r="B3" s="224"/>
      <c r="C3" s="158"/>
      <c r="D3" s="158"/>
      <c r="E3" s="158"/>
      <c r="F3" s="158"/>
      <c r="G3" s="158"/>
      <c r="H3" s="232"/>
      <c r="I3" s="743" t="s">
        <v>3</v>
      </c>
      <c r="J3" s="734">
        <f>+'Directors Certificate'!K3</f>
        <v>46203</v>
      </c>
      <c r="K3" s="225"/>
    </row>
    <row r="4" spans="2:11" s="129" customFormat="1" ht="18.75" x14ac:dyDescent="0.3">
      <c r="B4" s="452" t="s">
        <v>502</v>
      </c>
      <c r="C4" s="258"/>
      <c r="D4" s="258"/>
      <c r="E4" s="258"/>
      <c r="F4" s="258"/>
      <c r="G4" s="258"/>
      <c r="H4" s="258"/>
      <c r="I4" s="258"/>
      <c r="J4" s="258"/>
      <c r="K4" s="280"/>
    </row>
    <row r="5" spans="2:11" ht="60" customHeight="1" x14ac:dyDescent="0.2">
      <c r="B5" s="1152" t="s">
        <v>503</v>
      </c>
      <c r="C5" s="1153"/>
      <c r="D5" s="1153"/>
      <c r="E5" s="1153"/>
      <c r="F5" s="1153"/>
      <c r="G5" s="1153"/>
      <c r="H5" s="1153"/>
      <c r="I5" s="1153"/>
      <c r="J5" s="1153"/>
      <c r="K5" s="1154"/>
    </row>
    <row r="6" spans="2:11" ht="34.5" customHeight="1" x14ac:dyDescent="0.2">
      <c r="B6" s="1135" t="s">
        <v>1047</v>
      </c>
      <c r="C6" s="1136"/>
      <c r="D6" s="1136"/>
      <c r="E6" s="1136"/>
      <c r="F6" s="1136"/>
      <c r="G6" s="1136"/>
      <c r="H6" s="1136"/>
      <c r="I6" s="1136"/>
      <c r="J6" s="1136"/>
      <c r="K6" s="1137"/>
    </row>
    <row r="7" spans="2:11" ht="15" x14ac:dyDescent="0.25">
      <c r="B7" s="346" t="s">
        <v>504</v>
      </c>
      <c r="K7" s="104"/>
    </row>
    <row r="8" spans="2:11" ht="15" x14ac:dyDescent="0.25">
      <c r="B8" s="105"/>
      <c r="C8" s="1"/>
      <c r="D8" s="21"/>
      <c r="E8" s="21"/>
      <c r="F8" s="1208" t="s">
        <v>247</v>
      </c>
      <c r="G8" s="1209"/>
      <c r="H8" s="1209"/>
      <c r="I8" s="1209"/>
      <c r="J8" s="1210"/>
      <c r="K8" s="456"/>
    </row>
    <row r="9" spans="2:11" ht="15" x14ac:dyDescent="0.25">
      <c r="B9" s="105"/>
      <c r="C9" s="1"/>
      <c r="D9" s="1211" t="s">
        <v>505</v>
      </c>
      <c r="E9" s="1213" t="s">
        <v>9</v>
      </c>
      <c r="F9" s="1215" t="s">
        <v>506</v>
      </c>
      <c r="G9" s="1209"/>
      <c r="H9" s="1209"/>
      <c r="I9" s="1209"/>
      <c r="J9" s="1210"/>
      <c r="K9" s="456"/>
    </row>
    <row r="10" spans="2:11" ht="15" x14ac:dyDescent="0.25">
      <c r="B10" s="105"/>
      <c r="C10" s="1"/>
      <c r="D10" s="1212"/>
      <c r="E10" s="1214"/>
      <c r="F10" s="43">
        <v>2026</v>
      </c>
      <c r="G10" s="66">
        <f>F10+1</f>
        <v>2027</v>
      </c>
      <c r="H10" s="66">
        <f t="shared" ref="H10:J10" si="0">G10+1</f>
        <v>2028</v>
      </c>
      <c r="I10" s="66">
        <f t="shared" si="0"/>
        <v>2029</v>
      </c>
      <c r="J10" s="67">
        <f t="shared" si="0"/>
        <v>2030</v>
      </c>
      <c r="K10" s="456"/>
    </row>
    <row r="11" spans="2:11" ht="30.95" customHeight="1" x14ac:dyDescent="0.2">
      <c r="B11" s="121" t="s">
        <v>507</v>
      </c>
      <c r="C11" s="261" t="s">
        <v>508</v>
      </c>
      <c r="D11" s="388" t="s">
        <v>509</v>
      </c>
      <c r="E11" s="275" t="s">
        <v>510</v>
      </c>
      <c r="F11" s="276">
        <f>'5_BaseCapexAllowance'!I43</f>
        <v>492.50489347952447</v>
      </c>
      <c r="G11" s="277">
        <f>'5_BaseCapexAllowance'!I44</f>
        <v>547.95342024078025</v>
      </c>
      <c r="H11" s="277">
        <f>'5_BaseCapexAllowance'!I45</f>
        <v>509.24281307180695</v>
      </c>
      <c r="I11" s="277">
        <f>'5_BaseCapexAllowance'!I46</f>
        <v>461.8608515693561</v>
      </c>
      <c r="J11" s="278">
        <f>'5_BaseCapexAllowance'!I47</f>
        <v>466.63713971340673</v>
      </c>
      <c r="K11" s="456"/>
    </row>
    <row r="12" spans="2:11" ht="31.5" customHeight="1" x14ac:dyDescent="0.2">
      <c r="B12" s="121" t="s">
        <v>511</v>
      </c>
      <c r="C12" s="366" t="s">
        <v>512</v>
      </c>
      <c r="D12" s="387"/>
      <c r="E12" s="289" t="s">
        <v>229</v>
      </c>
      <c r="F12" s="454">
        <f>F11/'1_Inputs'!I23</f>
        <v>451.3142213745449</v>
      </c>
      <c r="G12" s="290">
        <f>G11/'1_Inputs'!J23</f>
        <v>492.27971347780306</v>
      </c>
      <c r="H12" s="290">
        <f>H11/'1_Inputs'!K23</f>
        <v>448.53158804361766</v>
      </c>
      <c r="I12" s="290">
        <f>I11/'1_Inputs'!L23</f>
        <v>398.82199859606675</v>
      </c>
      <c r="J12" s="455">
        <f>J11/'1_Inputs'!M23</f>
        <v>395.04546735337493</v>
      </c>
      <c r="K12" s="456"/>
    </row>
    <row r="13" spans="2:11" ht="35.25" customHeight="1" x14ac:dyDescent="0.2">
      <c r="B13" s="121" t="s">
        <v>513</v>
      </c>
      <c r="C13" s="279" t="s">
        <v>514</v>
      </c>
      <c r="D13" s="52"/>
      <c r="E13" s="385" t="s">
        <v>515</v>
      </c>
      <c r="F13" s="739">
        <f>IFERROR(F12*'1_Inputs'!I25,0)</f>
        <v>498.51657689656213</v>
      </c>
      <c r="G13" s="740">
        <f>IFERROR(G12*'1_Inputs'!J25,0)</f>
        <v>0</v>
      </c>
      <c r="H13" s="740">
        <f>IFERROR(H12*'1_Inputs'!K25,0)</f>
        <v>0</v>
      </c>
      <c r="I13" s="740">
        <f>IFERROR(I12*'1_Inputs'!L25,0)</f>
        <v>0</v>
      </c>
      <c r="J13" s="741">
        <f>IFERROR(J12*'1_Inputs'!M25,0)</f>
        <v>0</v>
      </c>
      <c r="K13" s="456"/>
    </row>
    <row r="14" spans="2:11" x14ac:dyDescent="0.2">
      <c r="B14" s="105"/>
      <c r="C14" s="1189"/>
      <c r="D14" s="1190"/>
      <c r="E14" s="1190"/>
      <c r="F14" s="1190"/>
      <c r="G14" s="1190"/>
      <c r="H14" s="1190"/>
      <c r="I14" s="1190"/>
      <c r="J14" s="1190"/>
      <c r="K14" s="104"/>
    </row>
    <row r="15" spans="2:11" s="129" customFormat="1" ht="18" customHeight="1" x14ac:dyDescent="0.3">
      <c r="B15" s="453" t="s">
        <v>516</v>
      </c>
      <c r="C15" s="258"/>
      <c r="D15" s="258"/>
      <c r="E15" s="258"/>
      <c r="F15" s="258"/>
      <c r="G15" s="258"/>
      <c r="H15" s="257"/>
      <c r="I15" s="258"/>
      <c r="J15" s="258"/>
      <c r="K15" s="258"/>
    </row>
    <row r="16" spans="2:11" ht="43.5" customHeight="1" x14ac:dyDescent="0.25">
      <c r="B16" s="1199" t="s">
        <v>517</v>
      </c>
      <c r="C16" s="1200"/>
      <c r="D16" s="1200"/>
      <c r="E16" s="1200"/>
      <c r="F16" s="1200"/>
      <c r="G16" s="1200"/>
      <c r="H16" s="1200"/>
      <c r="I16" s="1200"/>
      <c r="J16" s="1200"/>
      <c r="K16" s="1201"/>
    </row>
    <row r="17" spans="2:11" ht="24.75" customHeight="1" x14ac:dyDescent="0.2">
      <c r="B17" s="1135" t="s">
        <v>1048</v>
      </c>
      <c r="C17" s="1136"/>
      <c r="D17" s="1136"/>
      <c r="E17" s="1136"/>
      <c r="F17" s="1136"/>
      <c r="G17" s="1136"/>
      <c r="H17" s="1136"/>
      <c r="I17" s="1136"/>
      <c r="J17" s="1136"/>
      <c r="K17" s="1137"/>
    </row>
    <row r="18" spans="2:11" x14ac:dyDescent="0.2">
      <c r="K18" s="104"/>
    </row>
    <row r="19" spans="2:11" ht="15" x14ac:dyDescent="0.25">
      <c r="B19" s="346" t="s">
        <v>518</v>
      </c>
      <c r="F19" s="338" t="s">
        <v>506</v>
      </c>
      <c r="G19" s="339"/>
      <c r="H19" s="339"/>
      <c r="I19" s="339"/>
      <c r="J19" s="340"/>
      <c r="K19" s="456"/>
    </row>
    <row r="20" spans="2:11" ht="13.5" x14ac:dyDescent="0.25">
      <c r="B20" s="105"/>
      <c r="C20" s="623" t="s">
        <v>519</v>
      </c>
      <c r="D20" s="624" t="s">
        <v>223</v>
      </c>
      <c r="E20" s="625"/>
      <c r="F20" s="626">
        <v>2026</v>
      </c>
      <c r="G20" s="627">
        <f>F20+1</f>
        <v>2027</v>
      </c>
      <c r="H20" s="627">
        <f>G20+1</f>
        <v>2028</v>
      </c>
      <c r="I20" s="627">
        <f>H20+1</f>
        <v>2029</v>
      </c>
      <c r="J20" s="628">
        <f>I20+1</f>
        <v>2030</v>
      </c>
      <c r="K20" s="456"/>
    </row>
    <row r="21" spans="2:11" ht="15" customHeight="1" x14ac:dyDescent="0.25">
      <c r="B21" s="105"/>
      <c r="C21" s="626" t="s">
        <v>520</v>
      </c>
      <c r="D21" s="629"/>
      <c r="E21" s="629"/>
      <c r="F21" s="684"/>
      <c r="G21" s="629"/>
      <c r="H21" s="629"/>
      <c r="I21" s="629"/>
      <c r="J21" s="1083"/>
      <c r="K21" s="456"/>
    </row>
    <row r="22" spans="2:11" ht="13.5" x14ac:dyDescent="0.2">
      <c r="B22" s="111" t="s">
        <v>303</v>
      </c>
      <c r="C22" s="630" t="s">
        <v>521</v>
      </c>
      <c r="D22" s="631" t="s">
        <v>522</v>
      </c>
      <c r="E22" s="632"/>
      <c r="F22" s="633">
        <v>0.61</v>
      </c>
      <c r="G22" s="634">
        <v>0.61</v>
      </c>
      <c r="H22" s="634">
        <v>0.61</v>
      </c>
      <c r="I22" s="634">
        <v>0.61</v>
      </c>
      <c r="J22" s="635">
        <v>0.61</v>
      </c>
      <c r="K22" s="104"/>
    </row>
    <row r="23" spans="2:11" ht="13.5" x14ac:dyDescent="0.2">
      <c r="B23" s="111" t="s">
        <v>523</v>
      </c>
      <c r="C23" s="636" t="s">
        <v>524</v>
      </c>
      <c r="D23" s="637" t="s">
        <v>525</v>
      </c>
      <c r="E23" s="638"/>
      <c r="F23" s="639">
        <v>0.54</v>
      </c>
      <c r="G23" s="640">
        <v>0.54</v>
      </c>
      <c r="H23" s="640">
        <v>0.54</v>
      </c>
      <c r="I23" s="640">
        <v>0.54</v>
      </c>
      <c r="J23" s="641">
        <v>0.54</v>
      </c>
      <c r="K23" s="104"/>
    </row>
    <row r="24" spans="2:11" ht="13.5" x14ac:dyDescent="0.2">
      <c r="B24" s="111" t="s">
        <v>526</v>
      </c>
      <c r="C24" s="642" t="s">
        <v>527</v>
      </c>
      <c r="D24" s="643" t="s">
        <v>528</v>
      </c>
      <c r="E24" s="644"/>
      <c r="F24" s="645">
        <v>0.49</v>
      </c>
      <c r="G24" s="646">
        <v>0.49</v>
      </c>
      <c r="H24" s="646">
        <v>0.49</v>
      </c>
      <c r="I24" s="646">
        <v>0.49</v>
      </c>
      <c r="J24" s="647">
        <v>0.49</v>
      </c>
      <c r="K24" s="104"/>
    </row>
    <row r="25" spans="2:11" ht="13.5" x14ac:dyDescent="0.2">
      <c r="B25" s="111" t="s">
        <v>529</v>
      </c>
      <c r="C25" s="636" t="s">
        <v>530</v>
      </c>
      <c r="D25" s="637" t="s">
        <v>531</v>
      </c>
      <c r="E25" s="638"/>
      <c r="F25" s="639">
        <v>0.9</v>
      </c>
      <c r="G25" s="640">
        <v>0.9</v>
      </c>
      <c r="H25" s="640">
        <v>0.9</v>
      </c>
      <c r="I25" s="640">
        <v>0.9</v>
      </c>
      <c r="J25" s="641">
        <v>0.9</v>
      </c>
      <c r="K25" s="104"/>
    </row>
    <row r="26" spans="2:11" ht="13.5" x14ac:dyDescent="0.2">
      <c r="B26" s="111" t="s">
        <v>532</v>
      </c>
      <c r="C26" s="642" t="s">
        <v>533</v>
      </c>
      <c r="D26" s="643" t="s">
        <v>534</v>
      </c>
      <c r="E26" s="644"/>
      <c r="F26" s="645">
        <v>87.85</v>
      </c>
      <c r="G26" s="646">
        <v>87.85</v>
      </c>
      <c r="H26" s="646">
        <v>87.85</v>
      </c>
      <c r="I26" s="646">
        <v>87.85</v>
      </c>
      <c r="J26" s="647">
        <v>87.85</v>
      </c>
      <c r="K26" s="104"/>
    </row>
    <row r="27" spans="2:11" ht="13.5" x14ac:dyDescent="0.2">
      <c r="B27" s="111" t="s">
        <v>535</v>
      </c>
      <c r="C27" s="636" t="s">
        <v>536</v>
      </c>
      <c r="D27" s="637" t="s">
        <v>537</v>
      </c>
      <c r="E27" s="638"/>
      <c r="F27" s="639">
        <v>6.37</v>
      </c>
      <c r="G27" s="640">
        <v>6.37</v>
      </c>
      <c r="H27" s="640">
        <v>6.37</v>
      </c>
      <c r="I27" s="640">
        <v>6.37</v>
      </c>
      <c r="J27" s="641">
        <v>6.37</v>
      </c>
      <c r="K27" s="104"/>
    </row>
    <row r="28" spans="2:11" ht="13.5" x14ac:dyDescent="0.2">
      <c r="B28" s="111" t="s">
        <v>538</v>
      </c>
      <c r="C28" s="648" t="s">
        <v>539</v>
      </c>
      <c r="D28" s="649" t="s">
        <v>540</v>
      </c>
      <c r="E28" s="650"/>
      <c r="F28" s="651">
        <v>0.8</v>
      </c>
      <c r="G28" s="652">
        <v>0.8</v>
      </c>
      <c r="H28" s="652">
        <v>0.8</v>
      </c>
      <c r="I28" s="652">
        <v>0.8</v>
      </c>
      <c r="J28" s="653">
        <v>0.8</v>
      </c>
      <c r="K28" s="104"/>
    </row>
    <row r="29" spans="2:11" ht="13.5" x14ac:dyDescent="0.2">
      <c r="B29" s="111"/>
      <c r="C29" s="654" t="s">
        <v>541</v>
      </c>
      <c r="D29" s="655"/>
      <c r="E29" s="656"/>
      <c r="F29" s="655"/>
      <c r="G29" s="655"/>
      <c r="H29" s="655"/>
      <c r="I29" s="655"/>
      <c r="J29" s="1084"/>
      <c r="K29" s="456"/>
    </row>
    <row r="30" spans="2:11" ht="13.5" x14ac:dyDescent="0.2">
      <c r="B30" s="111" t="s">
        <v>542</v>
      </c>
      <c r="C30" s="657" t="s">
        <v>521</v>
      </c>
      <c r="D30" s="658" t="s">
        <v>543</v>
      </c>
      <c r="E30" s="657"/>
      <c r="F30" s="659">
        <v>0.6187146025051723</v>
      </c>
      <c r="G30" s="660"/>
      <c r="H30" s="660"/>
      <c r="I30" s="660"/>
      <c r="J30" s="661"/>
      <c r="K30" s="456"/>
    </row>
    <row r="31" spans="2:11" ht="13.5" x14ac:dyDescent="0.25">
      <c r="B31" s="111" t="s">
        <v>544</v>
      </c>
      <c r="C31" s="642" t="s">
        <v>524</v>
      </c>
      <c r="D31" s="662" t="s">
        <v>545</v>
      </c>
      <c r="E31" s="663"/>
      <c r="F31" s="664">
        <v>0.50956165795123842</v>
      </c>
      <c r="G31" s="665"/>
      <c r="H31" s="665"/>
      <c r="I31" s="665"/>
      <c r="J31" s="666"/>
      <c r="K31" s="456"/>
    </row>
    <row r="32" spans="2:11" ht="13.5" x14ac:dyDescent="0.25">
      <c r="B32" s="111" t="s">
        <v>546</v>
      </c>
      <c r="C32" s="636" t="s">
        <v>527</v>
      </c>
      <c r="D32" s="667" t="s">
        <v>547</v>
      </c>
      <c r="E32" s="668"/>
      <c r="F32" s="669">
        <v>0.43140003990314751</v>
      </c>
      <c r="G32" s="670"/>
      <c r="H32" s="670"/>
      <c r="I32" s="670"/>
      <c r="J32" s="671"/>
      <c r="K32" s="456"/>
    </row>
    <row r="33" spans="2:11" ht="13.5" x14ac:dyDescent="0.25">
      <c r="B33" s="111" t="s">
        <v>548</v>
      </c>
      <c r="C33" s="642" t="s">
        <v>530</v>
      </c>
      <c r="D33" s="662" t="s">
        <v>549</v>
      </c>
      <c r="E33" s="663"/>
      <c r="F33" s="664">
        <v>0.85301346027593195</v>
      </c>
      <c r="G33" s="665"/>
      <c r="H33" s="665"/>
      <c r="I33" s="665"/>
      <c r="J33" s="666"/>
      <c r="K33" s="456"/>
    </row>
    <row r="34" spans="2:11" ht="13.5" x14ac:dyDescent="0.25">
      <c r="B34" s="111" t="s">
        <v>550</v>
      </c>
      <c r="C34" s="636" t="s">
        <v>533</v>
      </c>
      <c r="D34" s="667" t="s">
        <v>551</v>
      </c>
      <c r="E34" s="668"/>
      <c r="F34" s="669">
        <v>0</v>
      </c>
      <c r="G34" s="670"/>
      <c r="H34" s="670"/>
      <c r="I34" s="670"/>
      <c r="J34" s="671"/>
      <c r="K34" s="456"/>
    </row>
    <row r="35" spans="2:11" ht="13.5" x14ac:dyDescent="0.25">
      <c r="B35" s="111" t="s">
        <v>552</v>
      </c>
      <c r="C35" s="642" t="s">
        <v>536</v>
      </c>
      <c r="D35" s="662" t="s">
        <v>553</v>
      </c>
      <c r="E35" s="663"/>
      <c r="F35" s="664">
        <v>5.4497680389248737</v>
      </c>
      <c r="G35" s="665"/>
      <c r="H35" s="665"/>
      <c r="I35" s="665"/>
      <c r="J35" s="666"/>
      <c r="K35" s="456"/>
    </row>
    <row r="36" spans="2:11" ht="13.5" x14ac:dyDescent="0.25">
      <c r="B36" s="111" t="s">
        <v>554</v>
      </c>
      <c r="C36" s="672" t="s">
        <v>539</v>
      </c>
      <c r="D36" s="673" t="s">
        <v>555</v>
      </c>
      <c r="E36" s="674"/>
      <c r="F36" s="675">
        <v>0</v>
      </c>
      <c r="G36" s="676"/>
      <c r="H36" s="676"/>
      <c r="I36" s="676"/>
      <c r="J36" s="677"/>
      <c r="K36" s="456"/>
    </row>
    <row r="37" spans="2:11" ht="13.5" x14ac:dyDescent="0.25">
      <c r="C37" s="427"/>
      <c r="D37" s="427"/>
      <c r="E37" s="427"/>
      <c r="F37" s="427"/>
      <c r="G37" s="427"/>
      <c r="H37" s="427"/>
      <c r="I37" s="427"/>
      <c r="J37" s="427"/>
      <c r="K37" s="104"/>
    </row>
    <row r="38" spans="2:11" ht="13.5" x14ac:dyDescent="0.25">
      <c r="C38" s="427"/>
      <c r="D38" s="427"/>
      <c r="E38" s="427"/>
      <c r="F38" s="427"/>
      <c r="G38" s="427"/>
      <c r="H38" s="427"/>
      <c r="I38" s="427"/>
      <c r="J38" s="427"/>
      <c r="K38" s="104"/>
    </row>
    <row r="39" spans="2:11" ht="13.5" x14ac:dyDescent="0.25">
      <c r="C39" s="427"/>
      <c r="D39" s="427"/>
      <c r="E39" s="427"/>
      <c r="F39" s="427"/>
      <c r="G39" s="427"/>
      <c r="H39" s="427"/>
      <c r="I39" s="427"/>
      <c r="J39" s="427"/>
      <c r="K39" s="104"/>
    </row>
    <row r="40" spans="2:11" ht="13.5" x14ac:dyDescent="0.25">
      <c r="C40" s="427"/>
      <c r="D40" s="427"/>
      <c r="E40" s="427"/>
      <c r="F40" s="427"/>
      <c r="G40" s="427"/>
      <c r="H40" s="427"/>
      <c r="I40" s="427"/>
      <c r="J40" s="427"/>
      <c r="K40" s="104"/>
    </row>
    <row r="41" spans="2:11" ht="13.5" x14ac:dyDescent="0.25">
      <c r="C41" s="427"/>
      <c r="D41" s="427"/>
      <c r="E41" s="427"/>
      <c r="F41" s="427"/>
      <c r="G41" s="427"/>
      <c r="H41" s="427"/>
      <c r="I41" s="427"/>
      <c r="J41" s="427"/>
      <c r="K41" s="104"/>
    </row>
    <row r="42" spans="2:11" ht="13.5" x14ac:dyDescent="0.25">
      <c r="C42" s="427"/>
      <c r="D42" s="427"/>
      <c r="E42" s="427"/>
      <c r="F42" s="427"/>
      <c r="G42" s="427"/>
      <c r="H42" s="427"/>
      <c r="I42" s="427"/>
      <c r="J42" s="427"/>
      <c r="K42" s="104"/>
    </row>
    <row r="43" spans="2:11" ht="15" x14ac:dyDescent="0.25">
      <c r="B43" s="346" t="s">
        <v>556</v>
      </c>
      <c r="C43" s="678"/>
      <c r="D43" s="678"/>
      <c r="E43" s="678"/>
      <c r="F43" s="679" t="s">
        <v>247</v>
      </c>
      <c r="G43" s="680"/>
      <c r="H43" s="680"/>
      <c r="I43" s="680"/>
      <c r="J43" s="681"/>
      <c r="K43" s="456"/>
    </row>
    <row r="44" spans="2:11" ht="13.5" x14ac:dyDescent="0.2">
      <c r="B44" s="105"/>
      <c r="C44" s="1202" t="s">
        <v>557</v>
      </c>
      <c r="D44" s="1204" t="s">
        <v>9</v>
      </c>
      <c r="E44" s="1205"/>
      <c r="F44" s="679" t="s">
        <v>247</v>
      </c>
      <c r="G44" s="682"/>
      <c r="H44" s="682"/>
      <c r="I44" s="682"/>
      <c r="J44" s="683"/>
      <c r="K44" s="456"/>
    </row>
    <row r="45" spans="2:11" ht="13.5" x14ac:dyDescent="0.25">
      <c r="B45" s="105"/>
      <c r="C45" s="1203"/>
      <c r="D45" s="1206"/>
      <c r="E45" s="1207"/>
      <c r="F45" s="626">
        <f>F20</f>
        <v>2026</v>
      </c>
      <c r="G45" s="627">
        <f>G20</f>
        <v>2027</v>
      </c>
      <c r="H45" s="627">
        <f>H20</f>
        <v>2028</v>
      </c>
      <c r="I45" s="627">
        <f>I20</f>
        <v>2029</v>
      </c>
      <c r="J45" s="628">
        <f>J20</f>
        <v>2030</v>
      </c>
      <c r="K45" s="456"/>
    </row>
    <row r="46" spans="2:11" ht="13.5" x14ac:dyDescent="0.25">
      <c r="B46" s="105"/>
      <c r="C46" s="626" t="s">
        <v>558</v>
      </c>
      <c r="D46" s="629"/>
      <c r="E46" s="629"/>
      <c r="F46" s="684"/>
      <c r="G46" s="627"/>
      <c r="H46" s="627"/>
      <c r="I46" s="627"/>
      <c r="J46" s="628"/>
      <c r="K46" s="456"/>
    </row>
    <row r="47" spans="2:11" ht="14.25" customHeight="1" x14ac:dyDescent="0.25">
      <c r="B47" s="111" t="s">
        <v>308</v>
      </c>
      <c r="C47" s="668" t="s">
        <v>559</v>
      </c>
      <c r="D47" s="1197" t="s">
        <v>560</v>
      </c>
      <c r="E47" s="1198"/>
      <c r="F47" s="685">
        <v>8.6</v>
      </c>
      <c r="G47" s="686">
        <v>10.6</v>
      </c>
      <c r="H47" s="686">
        <v>6.8</v>
      </c>
      <c r="I47" s="686">
        <v>16.3</v>
      </c>
      <c r="J47" s="687">
        <v>24</v>
      </c>
      <c r="K47" s="456"/>
    </row>
    <row r="48" spans="2:11" ht="14.25" customHeight="1" x14ac:dyDescent="0.25">
      <c r="B48" s="111" t="s">
        <v>311</v>
      </c>
      <c r="C48" s="663" t="s">
        <v>561</v>
      </c>
      <c r="D48" s="1195" t="s">
        <v>560</v>
      </c>
      <c r="E48" s="1196"/>
      <c r="F48" s="688">
        <v>3.7</v>
      </c>
      <c r="G48" s="689">
        <v>5.8</v>
      </c>
      <c r="H48" s="689">
        <v>3.8</v>
      </c>
      <c r="I48" s="689">
        <v>2.4</v>
      </c>
      <c r="J48" s="690">
        <v>3.2</v>
      </c>
      <c r="K48" s="456"/>
    </row>
    <row r="49" spans="2:11" ht="14.25" customHeight="1" x14ac:dyDescent="0.25">
      <c r="B49" s="111" t="s">
        <v>314</v>
      </c>
      <c r="C49" s="668" t="s">
        <v>562</v>
      </c>
      <c r="D49" s="1191" t="s">
        <v>560</v>
      </c>
      <c r="E49" s="1192"/>
      <c r="F49" s="691">
        <v>0</v>
      </c>
      <c r="G49" s="686">
        <v>0</v>
      </c>
      <c r="H49" s="686">
        <v>0</v>
      </c>
      <c r="I49" s="686">
        <v>0</v>
      </c>
      <c r="J49" s="687">
        <v>0</v>
      </c>
      <c r="K49" s="456"/>
    </row>
    <row r="50" spans="2:11" ht="14.25" customHeight="1" x14ac:dyDescent="0.25">
      <c r="B50" s="111" t="s">
        <v>317</v>
      </c>
      <c r="C50" s="663" t="s">
        <v>563</v>
      </c>
      <c r="D50" s="1195" t="s">
        <v>560</v>
      </c>
      <c r="E50" s="1196"/>
      <c r="F50" s="688">
        <v>4.7</v>
      </c>
      <c r="G50" s="689">
        <v>2.2000000000000002</v>
      </c>
      <c r="H50" s="689">
        <v>1.7</v>
      </c>
      <c r="I50" s="689">
        <v>1</v>
      </c>
      <c r="J50" s="690">
        <v>1.9</v>
      </c>
      <c r="K50" s="456"/>
    </row>
    <row r="51" spans="2:11" ht="14.25" customHeight="1" x14ac:dyDescent="0.25">
      <c r="B51" s="111" t="s">
        <v>320</v>
      </c>
      <c r="C51" s="668" t="s">
        <v>564</v>
      </c>
      <c r="D51" s="1191" t="s">
        <v>560</v>
      </c>
      <c r="E51" s="1192"/>
      <c r="F51" s="691">
        <v>0</v>
      </c>
      <c r="G51" s="686">
        <v>0.1</v>
      </c>
      <c r="H51" s="686">
        <v>0</v>
      </c>
      <c r="I51" s="686">
        <v>0.1</v>
      </c>
      <c r="J51" s="687">
        <v>0</v>
      </c>
      <c r="K51" s="456"/>
    </row>
    <row r="52" spans="2:11" ht="14.25" customHeight="1" x14ac:dyDescent="0.25">
      <c r="B52" s="111" t="s">
        <v>323</v>
      </c>
      <c r="C52" s="663" t="s">
        <v>565</v>
      </c>
      <c r="D52" s="1195" t="s">
        <v>560</v>
      </c>
      <c r="E52" s="1196"/>
      <c r="F52" s="688">
        <v>1.7</v>
      </c>
      <c r="G52" s="689">
        <v>1.5</v>
      </c>
      <c r="H52" s="689">
        <v>1.3</v>
      </c>
      <c r="I52" s="689">
        <v>2.1</v>
      </c>
      <c r="J52" s="690">
        <v>1.9</v>
      </c>
      <c r="K52" s="456"/>
    </row>
    <row r="53" spans="2:11" ht="14.25" customHeight="1" x14ac:dyDescent="0.25">
      <c r="B53" s="111" t="s">
        <v>326</v>
      </c>
      <c r="C53" s="674" t="s">
        <v>566</v>
      </c>
      <c r="D53" s="1193" t="s">
        <v>560</v>
      </c>
      <c r="E53" s="1194"/>
      <c r="F53" s="692">
        <v>0</v>
      </c>
      <c r="G53" s="693">
        <v>0</v>
      </c>
      <c r="H53" s="693">
        <v>0</v>
      </c>
      <c r="I53" s="693">
        <v>0</v>
      </c>
      <c r="J53" s="694">
        <v>0</v>
      </c>
      <c r="K53" s="456"/>
    </row>
    <row r="54" spans="2:11" ht="13.5" x14ac:dyDescent="0.2">
      <c r="B54" s="111" t="s">
        <v>567</v>
      </c>
      <c r="C54" s="695" t="s">
        <v>247</v>
      </c>
      <c r="D54" s="696"/>
      <c r="E54" s="696"/>
      <c r="F54" s="697">
        <f>SUM(F47:F53)</f>
        <v>18.7</v>
      </c>
      <c r="G54" s="698">
        <f>SUM(G47:G53)</f>
        <v>20.2</v>
      </c>
      <c r="H54" s="698">
        <f>SUM(H47:H53)</f>
        <v>13.6</v>
      </c>
      <c r="I54" s="698">
        <f>SUM(I47:I53)</f>
        <v>21.900000000000002</v>
      </c>
      <c r="J54" s="699">
        <f>SUM(J47:J53)</f>
        <v>30.999999999999996</v>
      </c>
      <c r="K54" s="456"/>
    </row>
    <row r="55" spans="2:11" ht="15" customHeight="1" x14ac:dyDescent="0.2">
      <c r="B55" s="111"/>
      <c r="C55" s="700" t="s">
        <v>568</v>
      </c>
      <c r="D55" s="701"/>
      <c r="E55" s="701"/>
      <c r="F55" s="701"/>
      <c r="G55" s="701"/>
      <c r="H55" s="701"/>
      <c r="I55" s="701"/>
      <c r="J55" s="702"/>
      <c r="K55" s="456"/>
    </row>
    <row r="56" spans="2:11" ht="13.5" x14ac:dyDescent="0.25">
      <c r="B56" s="111" t="s">
        <v>569</v>
      </c>
      <c r="C56" s="703" t="s">
        <v>559</v>
      </c>
      <c r="D56" s="704"/>
      <c r="E56" s="705"/>
      <c r="F56" s="706">
        <f t="shared" ref="F56:J62" si="1">IFERROR(F47*F22/F30,)</f>
        <v>8.4788688981300453</v>
      </c>
      <c r="G56" s="707">
        <f t="shared" si="1"/>
        <v>0</v>
      </c>
      <c r="H56" s="707">
        <f t="shared" si="1"/>
        <v>0</v>
      </c>
      <c r="I56" s="707">
        <f t="shared" si="1"/>
        <v>0</v>
      </c>
      <c r="J56" s="708">
        <f t="shared" si="1"/>
        <v>0</v>
      </c>
      <c r="K56" s="456"/>
    </row>
    <row r="57" spans="2:11" ht="13.5" x14ac:dyDescent="0.25">
      <c r="B57" s="111" t="s">
        <v>570</v>
      </c>
      <c r="C57" s="663" t="s">
        <v>561</v>
      </c>
      <c r="D57" s="709"/>
      <c r="E57" s="710"/>
      <c r="F57" s="711">
        <f t="shared" si="1"/>
        <v>3.9210171503743618</v>
      </c>
      <c r="G57" s="712">
        <f t="shared" si="1"/>
        <v>0</v>
      </c>
      <c r="H57" s="712">
        <f t="shared" si="1"/>
        <v>0</v>
      </c>
      <c r="I57" s="712">
        <f t="shared" si="1"/>
        <v>0</v>
      </c>
      <c r="J57" s="713">
        <f t="shared" si="1"/>
        <v>0</v>
      </c>
      <c r="K57" s="456"/>
    </row>
    <row r="58" spans="2:11" ht="13.5" x14ac:dyDescent="0.25">
      <c r="B58" s="111" t="s">
        <v>571</v>
      </c>
      <c r="C58" s="668" t="s">
        <v>562</v>
      </c>
      <c r="D58" s="714"/>
      <c r="E58" s="715"/>
      <c r="F58" s="716">
        <f t="shared" si="1"/>
        <v>0</v>
      </c>
      <c r="G58" s="717">
        <f t="shared" si="1"/>
        <v>0</v>
      </c>
      <c r="H58" s="717">
        <f t="shared" si="1"/>
        <v>0</v>
      </c>
      <c r="I58" s="717">
        <f t="shared" si="1"/>
        <v>0</v>
      </c>
      <c r="J58" s="718">
        <f t="shared" si="1"/>
        <v>0</v>
      </c>
      <c r="K58" s="456"/>
    </row>
    <row r="59" spans="2:11" ht="13.5" x14ac:dyDescent="0.25">
      <c r="B59" s="111" t="s">
        <v>572</v>
      </c>
      <c r="C59" s="663" t="s">
        <v>563</v>
      </c>
      <c r="D59" s="709"/>
      <c r="E59" s="710"/>
      <c r="F59" s="711">
        <f t="shared" si="1"/>
        <v>4.958890096097293</v>
      </c>
      <c r="G59" s="712">
        <f t="shared" si="1"/>
        <v>0</v>
      </c>
      <c r="H59" s="712">
        <f t="shared" si="1"/>
        <v>0</v>
      </c>
      <c r="I59" s="712">
        <f t="shared" si="1"/>
        <v>0</v>
      </c>
      <c r="J59" s="713">
        <f t="shared" si="1"/>
        <v>0</v>
      </c>
      <c r="K59" s="456"/>
    </row>
    <row r="60" spans="2:11" ht="13.5" x14ac:dyDescent="0.25">
      <c r="B60" s="111" t="s">
        <v>573</v>
      </c>
      <c r="C60" s="668" t="s">
        <v>564</v>
      </c>
      <c r="D60" s="714"/>
      <c r="E60" s="715"/>
      <c r="F60" s="716">
        <f t="shared" si="1"/>
        <v>0</v>
      </c>
      <c r="G60" s="717">
        <f t="shared" si="1"/>
        <v>0</v>
      </c>
      <c r="H60" s="717">
        <f t="shared" si="1"/>
        <v>0</v>
      </c>
      <c r="I60" s="717">
        <f t="shared" si="1"/>
        <v>0</v>
      </c>
      <c r="J60" s="718">
        <f t="shared" si="1"/>
        <v>0</v>
      </c>
      <c r="K60" s="456"/>
    </row>
    <row r="61" spans="2:11" ht="13.5" x14ac:dyDescent="0.25">
      <c r="B61" s="111" t="s">
        <v>574</v>
      </c>
      <c r="C61" s="663" t="s">
        <v>565</v>
      </c>
      <c r="D61" s="709"/>
      <c r="E61" s="710"/>
      <c r="F61" s="711">
        <f t="shared" si="1"/>
        <v>1.9870570495210174</v>
      </c>
      <c r="G61" s="712">
        <f t="shared" si="1"/>
        <v>0</v>
      </c>
      <c r="H61" s="712">
        <f t="shared" si="1"/>
        <v>0</v>
      </c>
      <c r="I61" s="712">
        <f t="shared" si="1"/>
        <v>0</v>
      </c>
      <c r="J61" s="713">
        <f t="shared" si="1"/>
        <v>0</v>
      </c>
      <c r="K61" s="456"/>
    </row>
    <row r="62" spans="2:11" ht="13.5" x14ac:dyDescent="0.25">
      <c r="B62" s="111" t="s">
        <v>575</v>
      </c>
      <c r="C62" s="668" t="s">
        <v>566</v>
      </c>
      <c r="D62" s="714"/>
      <c r="E62" s="719"/>
      <c r="F62" s="720">
        <f t="shared" si="1"/>
        <v>0</v>
      </c>
      <c r="G62" s="721">
        <f t="shared" si="1"/>
        <v>0</v>
      </c>
      <c r="H62" s="721">
        <f t="shared" si="1"/>
        <v>0</v>
      </c>
      <c r="I62" s="721">
        <f t="shared" si="1"/>
        <v>0</v>
      </c>
      <c r="J62" s="722">
        <f t="shared" si="1"/>
        <v>0</v>
      </c>
      <c r="K62" s="456"/>
    </row>
    <row r="63" spans="2:11" ht="13.5" x14ac:dyDescent="0.2">
      <c r="B63" s="111" t="s">
        <v>576</v>
      </c>
      <c r="C63" s="723" t="s">
        <v>247</v>
      </c>
      <c r="D63" s="724"/>
      <c r="E63" s="725"/>
      <c r="F63" s="726">
        <f>SUM(F56:F62)</f>
        <v>19.345833194122715</v>
      </c>
      <c r="G63" s="727">
        <f>SUM(G56:G62)</f>
        <v>0</v>
      </c>
      <c r="H63" s="727">
        <f>SUM(H56:H62)</f>
        <v>0</v>
      </c>
      <c r="I63" s="727">
        <f>SUM(I56:I62)</f>
        <v>0</v>
      </c>
      <c r="J63" s="728">
        <f>SUM(J56:J62)</f>
        <v>0</v>
      </c>
      <c r="K63" s="456"/>
    </row>
    <row r="64" spans="2:11" ht="18.75" customHeight="1" x14ac:dyDescent="0.2">
      <c r="B64" s="111"/>
      <c r="C64" s="729" t="s">
        <v>577</v>
      </c>
      <c r="D64" s="730"/>
      <c r="E64" s="730"/>
      <c r="F64" s="731">
        <f>+F63-F54</f>
        <v>0.64583319412271578</v>
      </c>
      <c r="G64" s="732"/>
      <c r="H64" s="732"/>
      <c r="I64" s="732"/>
      <c r="J64" s="733"/>
      <c r="K64" s="456"/>
    </row>
    <row r="65" spans="2:11" ht="18.75" customHeight="1" x14ac:dyDescent="0.2">
      <c r="B65" s="111"/>
      <c r="C65" s="6"/>
      <c r="D65" s="6"/>
      <c r="E65" s="6"/>
      <c r="F65" s="358"/>
      <c r="G65" s="358"/>
      <c r="H65" s="358"/>
      <c r="I65" s="358"/>
      <c r="J65" s="358"/>
      <c r="K65" s="104"/>
    </row>
    <row r="66" spans="2:11" ht="18.75" customHeight="1" x14ac:dyDescent="0.3">
      <c r="B66" s="452" t="s">
        <v>578</v>
      </c>
      <c r="C66" s="881"/>
      <c r="D66" s="881"/>
      <c r="E66" s="881"/>
      <c r="F66" s="881"/>
      <c r="G66" s="881"/>
      <c r="H66" s="881"/>
      <c r="I66" s="881"/>
      <c r="J66" s="881"/>
      <c r="K66" s="881"/>
    </row>
    <row r="67" spans="2:11" ht="30.6" customHeight="1" x14ac:dyDescent="0.25">
      <c r="B67" s="1186" t="s">
        <v>579</v>
      </c>
      <c r="C67" s="1187"/>
      <c r="D67" s="1187"/>
      <c r="E67" s="1187"/>
      <c r="F67" s="1187"/>
      <c r="G67" s="1187"/>
      <c r="H67" s="1187"/>
      <c r="I67" s="1187"/>
      <c r="J67" s="1187"/>
      <c r="K67" s="1188"/>
    </row>
    <row r="68" spans="2:11" ht="18.75" customHeight="1" x14ac:dyDescent="0.2">
      <c r="B68" s="1135" t="s">
        <v>580</v>
      </c>
      <c r="C68" s="1136"/>
      <c r="D68" s="1136"/>
      <c r="E68" s="1136"/>
      <c r="F68" s="1136"/>
      <c r="G68" s="1136"/>
      <c r="H68" s="1136"/>
      <c r="I68" s="1136"/>
      <c r="J68" s="1136"/>
      <c r="K68" s="1137"/>
    </row>
    <row r="69" spans="2:11" ht="18.75" customHeight="1" x14ac:dyDescent="0.2">
      <c r="B69" s="105"/>
      <c r="C69" s="380" t="s">
        <v>581</v>
      </c>
      <c r="D69" s="380"/>
      <c r="E69" s="380"/>
      <c r="F69" s="380"/>
      <c r="G69" s="380"/>
      <c r="H69" s="380"/>
      <c r="I69" s="380"/>
      <c r="J69" s="380"/>
      <c r="K69" s="104"/>
    </row>
    <row r="70" spans="2:11" ht="15" x14ac:dyDescent="0.25">
      <c r="B70" s="17"/>
      <c r="C70" s="18"/>
      <c r="D70" s="18"/>
      <c r="E70" s="18"/>
      <c r="F70" s="18"/>
      <c r="G70" s="18"/>
      <c r="H70" s="18"/>
      <c r="I70" s="18"/>
      <c r="J70" s="18"/>
      <c r="K70" s="221"/>
    </row>
    <row r="71" spans="2:11" ht="15" x14ac:dyDescent="0.25">
      <c r="B71" s="153" t="str">
        <f>'Directors Certificate'!B57</f>
        <v>Transpower's Annual Compliance Statement for the year ending 30 June 2026</v>
      </c>
      <c r="C71" s="151"/>
      <c r="D71" s="151"/>
      <c r="E71" s="151"/>
      <c r="F71" s="309"/>
      <c r="G71" s="309"/>
      <c r="H71" s="309"/>
      <c r="I71" s="309"/>
      <c r="J71" s="309"/>
      <c r="K71" s="309"/>
    </row>
  </sheetData>
  <mergeCells count="21">
    <mergeCell ref="B2:G2"/>
    <mergeCell ref="F8:J8"/>
    <mergeCell ref="D9:D10"/>
    <mergeCell ref="E9:E10"/>
    <mergeCell ref="F9:J9"/>
    <mergeCell ref="B5:K5"/>
    <mergeCell ref="B6:K6"/>
    <mergeCell ref="B67:K67"/>
    <mergeCell ref="B68:K68"/>
    <mergeCell ref="C14:J14"/>
    <mergeCell ref="D51:E51"/>
    <mergeCell ref="D53:E53"/>
    <mergeCell ref="D48:E48"/>
    <mergeCell ref="D49:E49"/>
    <mergeCell ref="D50:E50"/>
    <mergeCell ref="D47:E47"/>
    <mergeCell ref="D52:E52"/>
    <mergeCell ref="B16:K16"/>
    <mergeCell ref="C44:C45"/>
    <mergeCell ref="B17:K17"/>
    <mergeCell ref="D44:E45"/>
  </mergeCells>
  <hyperlinks>
    <hyperlink ref="B2" location="Contents!A1" display="A summary of pass-through costs and recoverable costs for the disclosure year as set out in Schedule H" xr:uid="{8DBF0B9A-EBDC-4A1F-8F8C-62C7D9FAF13A}"/>
    <hyperlink ref="B2:G2" location="'Table of Contents'!A1" display="'Table of Contents'!A1" xr:uid="{9E3DEE58-36D4-4B01-BEE1-01D90CA4B7AC}"/>
  </hyperlinks>
  <pageMargins left="0.23622047244094491" right="0.23622047244094491" top="0.74803149606299213" bottom="0.74803149606299213" header="0.31496062992125984" footer="0.31496062992125984"/>
  <pageSetup paperSize="8" scale="90" orientation="landscape" r:id="rId1"/>
  <headerFooter>
    <oddHeader>&amp;F</oddHeader>
    <oddFooter>&amp;A&amp;RPage &amp;P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F7C0-7F70-48BA-9EBB-D0F6889A5964}">
  <sheetPr>
    <tabColor theme="3" tint="0.249977111117893"/>
  </sheetPr>
  <dimension ref="B2:I96"/>
  <sheetViews>
    <sheetView view="pageBreakPreview" zoomScale="85" zoomScaleNormal="100" zoomScaleSheetLayoutView="85" workbookViewId="0"/>
  </sheetViews>
  <sheetFormatPr defaultColWidth="9.140625" defaultRowHeight="15" x14ac:dyDescent="0.25"/>
  <cols>
    <col min="1" max="1" width="9.140625" style="1"/>
    <col min="2" max="2" width="5.7109375" style="1" customWidth="1"/>
    <col min="3" max="3" width="64.7109375" style="1" customWidth="1"/>
    <col min="4" max="4" width="55.85546875" style="1" customWidth="1"/>
    <col min="5" max="5" width="12" style="1" customWidth="1"/>
    <col min="6" max="7" width="11.28515625" style="1" customWidth="1"/>
    <col min="8" max="8" width="5.85546875" style="1" customWidth="1"/>
    <col min="9" max="9" width="12.28515625" style="1" bestFit="1" customWidth="1"/>
    <col min="10" max="16384" width="9.140625" style="1"/>
  </cols>
  <sheetData>
    <row r="2" spans="2:9" ht="35.25" customHeight="1" x14ac:dyDescent="0.3">
      <c r="B2" s="1141" t="s">
        <v>582</v>
      </c>
      <c r="C2" s="1142"/>
      <c r="D2" s="1142"/>
      <c r="E2" s="1142"/>
      <c r="F2" s="228"/>
      <c r="G2" s="228"/>
      <c r="H2" s="229"/>
      <c r="I2" s="226"/>
    </row>
    <row r="3" spans="2:9" ht="33.75" customHeight="1" x14ac:dyDescent="0.25">
      <c r="B3" s="230"/>
      <c r="C3" s="231"/>
      <c r="D3" s="231"/>
      <c r="E3" s="240"/>
      <c r="F3" s="232" t="s">
        <v>3</v>
      </c>
      <c r="G3" s="734">
        <f>+'4_RAB'!E3</f>
        <v>46203</v>
      </c>
      <c r="H3" s="233"/>
      <c r="I3" s="227"/>
    </row>
    <row r="4" spans="2:9" ht="18.75" x14ac:dyDescent="0.3">
      <c r="B4" s="257" t="s">
        <v>583</v>
      </c>
      <c r="C4" s="258"/>
      <c r="D4" s="258"/>
      <c r="E4" s="258"/>
      <c r="F4" s="258"/>
      <c r="G4" s="258"/>
      <c r="H4" s="258"/>
      <c r="I4" s="259"/>
    </row>
    <row r="5" spans="2:9" ht="40.5" customHeight="1" x14ac:dyDescent="0.25">
      <c r="B5" s="1217" t="s">
        <v>584</v>
      </c>
      <c r="C5" s="1218"/>
      <c r="D5" s="1218"/>
      <c r="E5" s="1218"/>
      <c r="F5" s="1218"/>
      <c r="G5" s="1218"/>
      <c r="H5" s="1219"/>
    </row>
    <row r="6" spans="2:9" ht="40.5" customHeight="1" x14ac:dyDescent="0.25">
      <c r="B6" s="1135" t="s">
        <v>585</v>
      </c>
      <c r="C6" s="1136"/>
      <c r="D6" s="1136"/>
      <c r="E6" s="1136"/>
      <c r="F6" s="1136"/>
      <c r="G6" s="1136"/>
      <c r="H6" s="1137"/>
      <c r="I6" s="389"/>
    </row>
    <row r="7" spans="2:9" x14ac:dyDescent="0.25">
      <c r="B7" s="12"/>
      <c r="H7" s="16"/>
    </row>
    <row r="8" spans="2:9" x14ac:dyDescent="0.25">
      <c r="B8" s="376" t="s">
        <v>586</v>
      </c>
      <c r="C8" s="21"/>
      <c r="H8" s="16"/>
    </row>
    <row r="9" spans="2:9" x14ac:dyDescent="0.25">
      <c r="B9" s="12"/>
      <c r="C9" s="8" t="s">
        <v>587</v>
      </c>
      <c r="D9" s="66"/>
      <c r="E9" s="66"/>
      <c r="F9" s="66"/>
      <c r="G9" s="97" t="s">
        <v>588</v>
      </c>
      <c r="H9" s="16"/>
    </row>
    <row r="10" spans="2:9" x14ac:dyDescent="0.25">
      <c r="B10" s="12"/>
      <c r="C10" s="4" t="s">
        <v>589</v>
      </c>
      <c r="G10" s="76">
        <f>G26</f>
        <v>17.91743472662731</v>
      </c>
      <c r="H10" s="16"/>
    </row>
    <row r="11" spans="2:9" x14ac:dyDescent="0.25">
      <c r="B11" s="51" t="s">
        <v>279</v>
      </c>
      <c r="C11" s="307" t="s">
        <v>590</v>
      </c>
      <c r="D11" s="18"/>
      <c r="E11" s="18"/>
      <c r="F11" s="18"/>
      <c r="G11" s="748">
        <f>G39</f>
        <v>0</v>
      </c>
      <c r="H11" s="16"/>
    </row>
    <row r="12" spans="2:9" ht="23.25" customHeight="1" x14ac:dyDescent="0.25">
      <c r="B12" s="12"/>
      <c r="C12" s="320" t="s">
        <v>591</v>
      </c>
      <c r="D12" s="749"/>
      <c r="E12" s="749"/>
      <c r="F12" s="749"/>
      <c r="G12" s="747">
        <f>G10+G11</f>
        <v>17.91743472662731</v>
      </c>
      <c r="H12" s="16"/>
    </row>
    <row r="13" spans="2:9" x14ac:dyDescent="0.25">
      <c r="B13" s="20"/>
      <c r="H13" s="16"/>
    </row>
    <row r="14" spans="2:9" x14ac:dyDescent="0.25">
      <c r="B14" s="376" t="s">
        <v>592</v>
      </c>
      <c r="C14" s="21"/>
      <c r="H14" s="16"/>
    </row>
    <row r="15" spans="2:9" ht="50.25" customHeight="1" x14ac:dyDescent="0.25">
      <c r="B15" s="20"/>
      <c r="C15" s="8" t="s">
        <v>587</v>
      </c>
      <c r="D15" s="35" t="s">
        <v>593</v>
      </c>
      <c r="E15" s="8" t="s">
        <v>594</v>
      </c>
      <c r="F15" s="773" t="s">
        <v>595</v>
      </c>
      <c r="G15" s="97" t="s">
        <v>247</v>
      </c>
      <c r="H15" s="16"/>
    </row>
    <row r="16" spans="2:9" ht="28.5" customHeight="1" x14ac:dyDescent="0.25">
      <c r="B16" s="12"/>
      <c r="C16" s="750" t="s">
        <v>596</v>
      </c>
      <c r="D16" s="751" t="s">
        <v>597</v>
      </c>
      <c r="E16" s="782" t="s">
        <v>598</v>
      </c>
      <c r="F16" s="790">
        <f>'1_Inputs'!D14</f>
        <v>0.32157482102195445</v>
      </c>
      <c r="G16" s="101"/>
      <c r="H16" s="16"/>
    </row>
    <row r="17" spans="2:9" x14ac:dyDescent="0.25">
      <c r="B17" s="12"/>
      <c r="C17" s="4" t="s">
        <v>599</v>
      </c>
      <c r="D17" s="57" t="s">
        <v>600</v>
      </c>
      <c r="E17" s="783" t="s">
        <v>601</v>
      </c>
      <c r="F17" s="792"/>
      <c r="G17" s="791">
        <f>+G19+G20+G21+G22+G24</f>
        <v>499.16241009068483</v>
      </c>
      <c r="H17" s="16"/>
      <c r="I17" s="588"/>
    </row>
    <row r="18" spans="2:9" ht="28.5" customHeight="1" x14ac:dyDescent="0.25">
      <c r="B18" s="12"/>
      <c r="C18" s="750" t="s">
        <v>602</v>
      </c>
      <c r="D18" s="751" t="s">
        <v>603</v>
      </c>
      <c r="E18" s="782" t="s">
        <v>604</v>
      </c>
      <c r="F18" s="283"/>
      <c r="G18" s="772">
        <v>450.76532816809998</v>
      </c>
      <c r="H18" s="234"/>
      <c r="I18" s="801"/>
    </row>
    <row r="19" spans="2:9" ht="30" x14ac:dyDescent="0.25">
      <c r="B19" s="12"/>
      <c r="C19" s="4" t="s">
        <v>605</v>
      </c>
      <c r="D19" s="57" t="s">
        <v>606</v>
      </c>
      <c r="E19" s="783" t="s">
        <v>607</v>
      </c>
      <c r="F19" s="58"/>
      <c r="G19" s="76">
        <f>'6_BaseCapexDisparitiesAdj'!F11-G20</f>
        <v>490.20489347952451</v>
      </c>
      <c r="H19" s="16"/>
      <c r="I19" s="588"/>
    </row>
    <row r="20" spans="2:9" ht="30" customHeight="1" x14ac:dyDescent="0.25">
      <c r="B20" s="12"/>
      <c r="C20" s="751" t="s">
        <v>608</v>
      </c>
      <c r="D20" s="751" t="s">
        <v>609</v>
      </c>
      <c r="E20" s="782" t="s">
        <v>610</v>
      </c>
      <c r="F20" s="283"/>
      <c r="G20" s="772">
        <f>'5_BaseCapexAllowance'!F43</f>
        <v>2.2999999999999545</v>
      </c>
      <c r="H20" s="16"/>
      <c r="I20" s="588"/>
    </row>
    <row r="21" spans="2:9" ht="30" x14ac:dyDescent="0.25">
      <c r="B21" s="12"/>
      <c r="C21" s="57" t="s">
        <v>1106</v>
      </c>
      <c r="D21" s="57" t="s">
        <v>603</v>
      </c>
      <c r="E21" s="783" t="s">
        <v>611</v>
      </c>
      <c r="F21" s="58"/>
      <c r="G21" s="76">
        <f>'6_BaseCapexDisparitiesAdj'!F13-'6_BaseCapexDisparitiesAdj'!F11</f>
        <v>6.0116834170376592</v>
      </c>
      <c r="H21" s="16"/>
      <c r="I21" s="588"/>
    </row>
    <row r="22" spans="2:9" ht="30" customHeight="1" x14ac:dyDescent="0.25">
      <c r="B22" s="12"/>
      <c r="C22" s="751" t="s">
        <v>612</v>
      </c>
      <c r="D22" s="751" t="s">
        <v>603</v>
      </c>
      <c r="E22" s="782" t="s">
        <v>613</v>
      </c>
      <c r="F22" s="283"/>
      <c r="G22" s="772">
        <f>'6_BaseCapexDisparitiesAdj'!F64</f>
        <v>0.64583319412271578</v>
      </c>
      <c r="H22" s="16"/>
      <c r="I22" s="588"/>
    </row>
    <row r="23" spans="2:9" ht="30" x14ac:dyDescent="0.25">
      <c r="B23" s="12"/>
      <c r="C23" s="59" t="s">
        <v>614</v>
      </c>
      <c r="D23" s="57" t="s">
        <v>603</v>
      </c>
      <c r="E23" s="783" t="s">
        <v>615</v>
      </c>
      <c r="F23" s="58"/>
      <c r="G23" s="76">
        <v>-7.3206968191906379</v>
      </c>
      <c r="H23" s="235"/>
      <c r="I23" s="588"/>
    </row>
    <row r="24" spans="2:9" ht="43.5" customHeight="1" x14ac:dyDescent="0.25">
      <c r="B24" s="12"/>
      <c r="C24" s="751" t="s">
        <v>616</v>
      </c>
      <c r="D24" s="751" t="s">
        <v>617</v>
      </c>
      <c r="E24" s="782" t="s">
        <v>618</v>
      </c>
      <c r="F24" s="753"/>
      <c r="G24" s="772">
        <v>0</v>
      </c>
      <c r="H24" s="16"/>
      <c r="I24" s="588"/>
    </row>
    <row r="25" spans="2:9" ht="23.25" customHeight="1" x14ac:dyDescent="0.25">
      <c r="B25" s="12"/>
      <c r="C25" s="27" t="s">
        <v>619</v>
      </c>
      <c r="D25" s="28" t="s">
        <v>620</v>
      </c>
      <c r="E25" s="77" t="s">
        <v>621</v>
      </c>
      <c r="F25" s="60"/>
      <c r="G25" s="78">
        <f>G17-G18-G23</f>
        <v>55.717778741775483</v>
      </c>
      <c r="H25" s="16"/>
      <c r="I25" s="541"/>
    </row>
    <row r="26" spans="2:9" ht="23.25" customHeight="1" x14ac:dyDescent="0.25">
      <c r="B26" s="12"/>
      <c r="C26" s="52" t="s">
        <v>589</v>
      </c>
      <c r="D26" s="61" t="s">
        <v>622</v>
      </c>
      <c r="E26" s="52"/>
      <c r="F26" s="62"/>
      <c r="G26" s="63">
        <f>F16*G25</f>
        <v>17.91743472662731</v>
      </c>
      <c r="H26" s="16"/>
    </row>
    <row r="27" spans="2:9" ht="23.25" customHeight="1" x14ac:dyDescent="0.25">
      <c r="B27" s="12"/>
      <c r="C27" s="428" t="s">
        <v>623</v>
      </c>
      <c r="G27" s="500"/>
      <c r="H27" s="16"/>
    </row>
    <row r="28" spans="2:9" x14ac:dyDescent="0.25">
      <c r="B28" s="376" t="s">
        <v>624</v>
      </c>
      <c r="C28" s="21"/>
      <c r="H28" s="16"/>
    </row>
    <row r="29" spans="2:9" ht="30" x14ac:dyDescent="0.25">
      <c r="B29" s="12"/>
      <c r="C29" s="8" t="s">
        <v>587</v>
      </c>
      <c r="D29" s="35" t="s">
        <v>593</v>
      </c>
      <c r="E29" s="8" t="s">
        <v>625</v>
      </c>
      <c r="F29" s="100" t="s">
        <v>626</v>
      </c>
      <c r="G29" s="97" t="s">
        <v>588</v>
      </c>
      <c r="H29" s="16"/>
    </row>
    <row r="30" spans="2:9" x14ac:dyDescent="0.25">
      <c r="B30" s="12"/>
      <c r="C30" s="750" t="s">
        <v>627</v>
      </c>
      <c r="D30" s="751">
        <v>0.15</v>
      </c>
      <c r="E30" s="782" t="s">
        <v>628</v>
      </c>
      <c r="F30" s="788">
        <f>'1_Inputs'!D15</f>
        <v>0.15</v>
      </c>
      <c r="G30" s="754"/>
      <c r="H30" s="16"/>
    </row>
    <row r="31" spans="2:9" x14ac:dyDescent="0.25">
      <c r="B31" s="12"/>
      <c r="C31" s="4" t="s">
        <v>629</v>
      </c>
      <c r="D31" s="57" t="s">
        <v>630</v>
      </c>
      <c r="E31" s="783" t="s">
        <v>631</v>
      </c>
      <c r="F31" s="84"/>
      <c r="G31" s="76">
        <f>G33+G34+G35+G36</f>
        <v>0</v>
      </c>
      <c r="H31" s="16"/>
    </row>
    <row r="32" spans="2:9" ht="30" x14ac:dyDescent="0.25">
      <c r="B32" s="12"/>
      <c r="C32" s="750" t="s">
        <v>632</v>
      </c>
      <c r="D32" s="751" t="s">
        <v>603</v>
      </c>
      <c r="E32" s="782" t="s">
        <v>633</v>
      </c>
      <c r="F32" s="283"/>
      <c r="G32" s="772">
        <v>0</v>
      </c>
      <c r="H32" s="16"/>
    </row>
    <row r="33" spans="2:8" ht="30" x14ac:dyDescent="0.25">
      <c r="B33" s="12"/>
      <c r="C33" s="4" t="s">
        <v>634</v>
      </c>
      <c r="D33" s="57" t="s">
        <v>606</v>
      </c>
      <c r="E33" s="783" t="s">
        <v>635</v>
      </c>
      <c r="F33" s="58"/>
      <c r="G33" s="76">
        <v>0</v>
      </c>
      <c r="H33" s="16"/>
    </row>
    <row r="34" spans="2:8" ht="30" x14ac:dyDescent="0.25">
      <c r="B34" s="12"/>
      <c r="C34" s="751" t="s">
        <v>636</v>
      </c>
      <c r="D34" s="751" t="s">
        <v>609</v>
      </c>
      <c r="E34" s="782" t="s">
        <v>637</v>
      </c>
      <c r="F34" s="283"/>
      <c r="G34" s="772">
        <v>0</v>
      </c>
      <c r="H34" s="16"/>
    </row>
    <row r="35" spans="2:8" ht="30" x14ac:dyDescent="0.25">
      <c r="B35" s="12"/>
      <c r="C35" s="57" t="s">
        <v>638</v>
      </c>
      <c r="D35" s="57" t="s">
        <v>603</v>
      </c>
      <c r="E35" s="783" t="s">
        <v>639</v>
      </c>
      <c r="F35" s="58"/>
      <c r="G35" s="76">
        <v>0</v>
      </c>
      <c r="H35" s="16"/>
    </row>
    <row r="36" spans="2:8" ht="30" x14ac:dyDescent="0.25">
      <c r="B36" s="12"/>
      <c r="C36" s="751" t="s">
        <v>640</v>
      </c>
      <c r="D36" s="751" t="s">
        <v>603</v>
      </c>
      <c r="E36" s="782" t="s">
        <v>641</v>
      </c>
      <c r="F36" s="283"/>
      <c r="G36" s="772">
        <v>0</v>
      </c>
      <c r="H36" s="16"/>
    </row>
    <row r="37" spans="2:8" ht="30" x14ac:dyDescent="0.25">
      <c r="B37" s="12"/>
      <c r="C37" s="59" t="s">
        <v>642</v>
      </c>
      <c r="D37" s="57" t="s">
        <v>603</v>
      </c>
      <c r="E37" s="783" t="s">
        <v>643</v>
      </c>
      <c r="F37" s="130"/>
      <c r="G37" s="748">
        <v>0</v>
      </c>
      <c r="H37" s="16"/>
    </row>
    <row r="38" spans="2:8" ht="23.25" customHeight="1" x14ac:dyDescent="0.25">
      <c r="B38" s="12"/>
      <c r="C38" s="27" t="s">
        <v>644</v>
      </c>
      <c r="D38" s="28" t="s">
        <v>645</v>
      </c>
      <c r="E38" s="77" t="s">
        <v>646</v>
      </c>
      <c r="F38" s="60"/>
      <c r="G38" s="78">
        <f>G31-G32-G37</f>
        <v>0</v>
      </c>
      <c r="H38" s="16"/>
    </row>
    <row r="39" spans="2:8" x14ac:dyDescent="0.25">
      <c r="B39" s="12"/>
      <c r="C39" s="52" t="s">
        <v>590</v>
      </c>
      <c r="D39" s="61" t="s">
        <v>647</v>
      </c>
      <c r="E39" s="52"/>
      <c r="F39" s="62"/>
      <c r="G39" s="63">
        <f>F30*G38</f>
        <v>0</v>
      </c>
      <c r="H39" s="16"/>
    </row>
    <row r="40" spans="2:8" x14ac:dyDescent="0.25">
      <c r="B40" s="12"/>
      <c r="C40" s="33"/>
      <c r="D40" s="33"/>
      <c r="E40" s="33"/>
      <c r="F40" s="501"/>
      <c r="G40" s="93"/>
      <c r="H40" s="16"/>
    </row>
    <row r="41" spans="2:8" ht="18.75" x14ac:dyDescent="0.3">
      <c r="B41" s="257" t="s">
        <v>648</v>
      </c>
      <c r="C41" s="258"/>
      <c r="D41" s="258"/>
      <c r="E41" s="205"/>
      <c r="F41" s="205"/>
      <c r="G41" s="205"/>
      <c r="H41" s="206"/>
    </row>
    <row r="42" spans="2:8" ht="33" customHeight="1" x14ac:dyDescent="0.25">
      <c r="B42" s="1112" t="s">
        <v>649</v>
      </c>
      <c r="C42" s="1113"/>
      <c r="D42" s="1113"/>
      <c r="E42" s="1113"/>
      <c r="F42" s="1113"/>
      <c r="G42" s="1113"/>
      <c r="H42" s="1216"/>
    </row>
    <row r="43" spans="2:8" x14ac:dyDescent="0.25">
      <c r="B43" s="376" t="s">
        <v>650</v>
      </c>
      <c r="H43" s="16"/>
    </row>
    <row r="44" spans="2:8" x14ac:dyDescent="0.25">
      <c r="B44" s="12"/>
      <c r="C44" s="21" t="s">
        <v>651</v>
      </c>
      <c r="D44" s="502"/>
      <c r="H44" s="16"/>
    </row>
    <row r="45" spans="2:8" ht="30" x14ac:dyDescent="0.25">
      <c r="B45" s="20"/>
      <c r="C45" s="8" t="s">
        <v>587</v>
      </c>
      <c r="D45" s="35">
        <v>2</v>
      </c>
      <c r="E45" s="8" t="s">
        <v>652</v>
      </c>
      <c r="F45" s="100" t="s">
        <v>626</v>
      </c>
      <c r="G45" s="97" t="s">
        <v>588</v>
      </c>
      <c r="H45" s="16"/>
    </row>
    <row r="46" spans="2:8" ht="30" x14ac:dyDescent="0.25">
      <c r="B46" s="12"/>
      <c r="C46" s="751" t="s">
        <v>653</v>
      </c>
      <c r="D46" s="751" t="s">
        <v>654</v>
      </c>
      <c r="E46" s="782" t="s">
        <v>598</v>
      </c>
      <c r="F46" s="789">
        <v>0.15</v>
      </c>
      <c r="G46" s="754"/>
      <c r="H46" s="16"/>
    </row>
    <row r="47" spans="2:8" x14ac:dyDescent="0.25">
      <c r="B47" s="12"/>
      <c r="C47" s="59" t="s">
        <v>655</v>
      </c>
      <c r="D47" s="57" t="s">
        <v>656</v>
      </c>
      <c r="E47" s="783" t="s">
        <v>601</v>
      </c>
      <c r="F47" s="84"/>
      <c r="G47" s="780">
        <f>G49+G50+G51</f>
        <v>0</v>
      </c>
      <c r="H47" s="16"/>
    </row>
    <row r="48" spans="2:8" ht="30" x14ac:dyDescent="0.25">
      <c r="B48" s="12"/>
      <c r="C48" s="751" t="s">
        <v>657</v>
      </c>
      <c r="D48" s="751" t="s">
        <v>658</v>
      </c>
      <c r="E48" s="782" t="s">
        <v>604</v>
      </c>
      <c r="F48" s="283"/>
      <c r="G48" s="772">
        <v>0</v>
      </c>
      <c r="H48" s="16"/>
    </row>
    <row r="49" spans="2:9" ht="30" x14ac:dyDescent="0.25">
      <c r="B49" s="12"/>
      <c r="C49" s="59" t="s">
        <v>659</v>
      </c>
      <c r="D49" s="57" t="s">
        <v>654</v>
      </c>
      <c r="E49" s="783" t="s">
        <v>607</v>
      </c>
      <c r="F49" s="84"/>
      <c r="G49" s="780">
        <v>0</v>
      </c>
      <c r="H49" s="16"/>
    </row>
    <row r="50" spans="2:9" ht="30" x14ac:dyDescent="0.25">
      <c r="B50" s="12"/>
      <c r="C50" s="751" t="s">
        <v>660</v>
      </c>
      <c r="D50" s="751" t="s">
        <v>658</v>
      </c>
      <c r="E50" s="782" t="s">
        <v>611</v>
      </c>
      <c r="F50" s="283"/>
      <c r="G50" s="772">
        <v>0</v>
      </c>
      <c r="H50" s="16"/>
    </row>
    <row r="51" spans="2:9" ht="30" x14ac:dyDescent="0.25">
      <c r="B51" s="12"/>
      <c r="C51" s="57" t="s">
        <v>661</v>
      </c>
      <c r="D51" s="57" t="s">
        <v>658</v>
      </c>
      <c r="E51" s="783" t="s">
        <v>613</v>
      </c>
      <c r="F51" s="68"/>
      <c r="G51" s="780">
        <v>0</v>
      </c>
      <c r="H51" s="16"/>
    </row>
    <row r="52" spans="2:9" ht="30" x14ac:dyDescent="0.25">
      <c r="B52" s="12"/>
      <c r="C52" s="751" t="s">
        <v>662</v>
      </c>
      <c r="D52" s="751" t="s">
        <v>663</v>
      </c>
      <c r="E52" s="782" t="s">
        <v>664</v>
      </c>
      <c r="F52" s="779"/>
      <c r="G52" s="781">
        <v>0</v>
      </c>
      <c r="H52" s="16"/>
    </row>
    <row r="53" spans="2:9" x14ac:dyDescent="0.25">
      <c r="B53" s="12"/>
      <c r="C53" s="27" t="s">
        <v>665</v>
      </c>
      <c r="D53" s="28" t="s">
        <v>666</v>
      </c>
      <c r="E53" s="77" t="s">
        <v>667</v>
      </c>
      <c r="F53" s="71"/>
      <c r="G53" s="752">
        <f>+G47-G52-G48</f>
        <v>0</v>
      </c>
      <c r="H53" s="16"/>
    </row>
    <row r="54" spans="2:9" x14ac:dyDescent="0.25">
      <c r="B54" s="12"/>
      <c r="C54" s="52" t="s">
        <v>668</v>
      </c>
      <c r="D54" s="61" t="s">
        <v>669</v>
      </c>
      <c r="E54" s="52"/>
      <c r="F54" s="72"/>
      <c r="G54" s="755">
        <f>IF(G48&gt;0,G53*$F$46,)</f>
        <v>0</v>
      </c>
      <c r="H54" s="16"/>
    </row>
    <row r="55" spans="2:9" x14ac:dyDescent="0.25">
      <c r="B55" s="12"/>
      <c r="H55" s="16"/>
    </row>
    <row r="56" spans="2:9" ht="33.75" customHeight="1" x14ac:dyDescent="0.25">
      <c r="B56" s="12"/>
      <c r="C56" s="457"/>
      <c r="D56" s="458"/>
      <c r="E56" s="205"/>
      <c r="F56" s="205"/>
      <c r="G56" s="206"/>
      <c r="H56" s="16"/>
    </row>
    <row r="57" spans="2:9" x14ac:dyDescent="0.25">
      <c r="B57" s="17"/>
      <c r="C57" s="18"/>
      <c r="D57" s="18"/>
      <c r="E57" s="18"/>
      <c r="F57" s="18"/>
      <c r="G57" s="18"/>
      <c r="H57" s="19"/>
    </row>
    <row r="58" spans="2:9" x14ac:dyDescent="0.25">
      <c r="B58" s="153" t="str">
        <f>'Directors Certificate'!B57</f>
        <v>Transpower's Annual Compliance Statement for the year ending 30 June 2026</v>
      </c>
      <c r="C58" s="151"/>
      <c r="D58" s="151"/>
      <c r="E58" s="151"/>
      <c r="F58" s="151"/>
      <c r="G58" s="309"/>
      <c r="H58" s="309"/>
      <c r="I58"/>
    </row>
    <row r="59" spans="2:9" x14ac:dyDescent="0.25">
      <c r="I59"/>
    </row>
    <row r="85" spans="2:2" ht="30" customHeight="1" x14ac:dyDescent="0.25"/>
    <row r="96" spans="2:2" x14ac:dyDescent="0.25">
      <c r="B96" s="12"/>
    </row>
  </sheetData>
  <mergeCells count="4">
    <mergeCell ref="B42:H42"/>
    <mergeCell ref="B2:E2"/>
    <mergeCell ref="B6:H6"/>
    <mergeCell ref="B5:H5"/>
  </mergeCells>
  <hyperlinks>
    <hyperlink ref="B2" location="Contents!A1" display="A summary of pass-through costs and recoverable costs for the disclosure year as set out in Schedule H" xr:uid="{548F26D4-9C0D-4C15-9BFA-11C718C46089}"/>
    <hyperlink ref="B2:E2" location="'Table of Contents'!A1" display="'Table of Contents'!A1" xr:uid="{826CF315-8938-4047-8345-F393202AA05B}"/>
  </hyperlinks>
  <pageMargins left="0.23622047244094491" right="0.23622047244094491" top="0.74803149606299213" bottom="0.74803149606299213" header="0.31496062992125984" footer="0.31496062992125984"/>
  <pageSetup paperSize="8" orientation="landscape" r:id="rId1"/>
  <headerFooter>
    <oddHeader>&amp;F</oddHeader>
    <oddFooter>&amp;A&amp;RPage &amp;P</oddFooter>
  </headerFooter>
  <rowBreaks count="1" manualBreakCount="1">
    <brk id="27" min="1" max="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19FE4-47D6-4134-907B-4C86AD955937}">
  <sheetPr>
    <tabColor theme="3" tint="0.249977111117893"/>
    <pageSetUpPr fitToPage="1"/>
  </sheetPr>
  <dimension ref="B1:K30"/>
  <sheetViews>
    <sheetView view="pageBreakPreview" zoomScale="85" zoomScaleNormal="100" zoomScaleSheetLayoutView="85" workbookViewId="0"/>
  </sheetViews>
  <sheetFormatPr defaultColWidth="9.140625" defaultRowHeight="12.75" x14ac:dyDescent="0.2"/>
  <cols>
    <col min="1" max="1" width="9.140625" style="5"/>
    <col min="2" max="2" width="6" style="5" customWidth="1"/>
    <col min="3" max="3" width="23.42578125" style="5" customWidth="1"/>
    <col min="4" max="9" width="25.28515625" style="5" customWidth="1"/>
    <col min="10" max="10" width="11.42578125" style="5" customWidth="1"/>
    <col min="11" max="16384" width="9.140625" style="5"/>
  </cols>
  <sheetData>
    <row r="1" spans="2:10" ht="15" customHeight="1" x14ac:dyDescent="0.2"/>
    <row r="2" spans="2:10" ht="39" customHeight="1" x14ac:dyDescent="0.3">
      <c r="B2" s="1220" t="s">
        <v>1054</v>
      </c>
      <c r="C2" s="1220"/>
      <c r="D2" s="1220"/>
      <c r="E2" s="1220"/>
      <c r="F2" s="351"/>
      <c r="G2" s="351"/>
      <c r="H2" s="351"/>
      <c r="I2" s="351"/>
      <c r="J2" s="351"/>
    </row>
    <row r="3" spans="2:10" ht="33.75" customHeight="1" x14ac:dyDescent="0.2">
      <c r="B3" s="351"/>
      <c r="C3" s="351"/>
      <c r="D3" s="351"/>
      <c r="E3" s="352"/>
      <c r="F3" s="351"/>
      <c r="G3" s="351"/>
      <c r="H3" s="352"/>
      <c r="I3" s="353" t="s">
        <v>3</v>
      </c>
      <c r="J3" s="734">
        <f>+'4_RAB'!E3</f>
        <v>46203</v>
      </c>
    </row>
    <row r="4" spans="2:10" ht="33.75" customHeight="1" x14ac:dyDescent="0.2">
      <c r="B4" s="260" t="s">
        <v>1055</v>
      </c>
      <c r="C4" s="204"/>
      <c r="D4" s="204"/>
      <c r="E4" s="204"/>
      <c r="F4" s="459"/>
      <c r="G4" s="459"/>
      <c r="H4" s="459"/>
      <c r="I4" s="459"/>
      <c r="J4" s="460"/>
    </row>
    <row r="5" spans="2:10" ht="33.75" customHeight="1" x14ac:dyDescent="0.2">
      <c r="B5" s="1110" t="s">
        <v>670</v>
      </c>
      <c r="C5" s="1111"/>
      <c r="D5" s="1111"/>
      <c r="E5" s="1111"/>
      <c r="F5" s="1111"/>
      <c r="G5" s="1111"/>
      <c r="H5" s="1111"/>
      <c r="I5" s="1111"/>
      <c r="J5" s="1221"/>
    </row>
    <row r="6" spans="2:10" ht="33.75" customHeight="1" x14ac:dyDescent="0.2">
      <c r="B6" s="1183" t="s">
        <v>1090</v>
      </c>
      <c r="C6" s="1184"/>
      <c r="D6" s="1184"/>
      <c r="E6" s="1184"/>
      <c r="F6" s="1184"/>
      <c r="G6" s="1184"/>
      <c r="H6" s="1184"/>
      <c r="I6" s="1184"/>
      <c r="J6" s="1185"/>
    </row>
    <row r="7" spans="2:10" ht="15" x14ac:dyDescent="0.2">
      <c r="B7" s="1135" t="s">
        <v>671</v>
      </c>
      <c r="C7" s="1136"/>
      <c r="D7" s="1136"/>
      <c r="E7" s="1136"/>
      <c r="F7" s="1136"/>
      <c r="G7" s="1136"/>
      <c r="H7" s="1136"/>
      <c r="I7" s="1136"/>
      <c r="J7" s="1137"/>
    </row>
    <row r="8" spans="2:10" ht="15" x14ac:dyDescent="0.2">
      <c r="B8" s="464"/>
      <c r="C8" s="471"/>
      <c r="D8" s="471"/>
      <c r="E8" s="471"/>
      <c r="F8" s="471"/>
      <c r="G8" s="471"/>
      <c r="H8" s="471"/>
      <c r="I8" s="471"/>
      <c r="J8" s="465"/>
    </row>
    <row r="9" spans="2:10" ht="15" x14ac:dyDescent="0.2">
      <c r="B9" s="374"/>
      <c r="C9" s="347"/>
      <c r="D9" s="347"/>
      <c r="E9" s="347"/>
      <c r="F9" s="347"/>
      <c r="G9" s="347"/>
      <c r="H9" s="347"/>
      <c r="I9" s="347"/>
      <c r="J9" s="348"/>
    </row>
    <row r="10" spans="2:10" ht="15" x14ac:dyDescent="0.25">
      <c r="B10" s="376" t="s">
        <v>672</v>
      </c>
      <c r="C10" s="347"/>
      <c r="D10" s="347"/>
      <c r="E10" s="347"/>
      <c r="F10" s="347"/>
      <c r="G10" s="347"/>
      <c r="H10" s="347"/>
      <c r="I10" s="347"/>
      <c r="J10" s="348"/>
    </row>
    <row r="11" spans="2:10" ht="15" x14ac:dyDescent="0.25">
      <c r="B11" s="20" t="s">
        <v>1056</v>
      </c>
      <c r="C11" s="21"/>
      <c r="D11" s="1"/>
      <c r="E11" s="1"/>
      <c r="F11" s="1"/>
      <c r="G11" s="1"/>
      <c r="H11" s="1"/>
      <c r="I11" s="1"/>
      <c r="J11" s="503"/>
    </row>
    <row r="12" spans="2:10" ht="60" x14ac:dyDescent="0.25">
      <c r="B12" s="12"/>
      <c r="C12" s="80" t="s">
        <v>482</v>
      </c>
      <c r="D12" s="81" t="s">
        <v>1057</v>
      </c>
      <c r="E12" s="81" t="s">
        <v>1058</v>
      </c>
      <c r="F12" s="81" t="s">
        <v>1059</v>
      </c>
      <c r="G12" s="81" t="s">
        <v>1060</v>
      </c>
      <c r="H12" s="81" t="s">
        <v>1061</v>
      </c>
      <c r="I12" s="81" t="s">
        <v>1062</v>
      </c>
      <c r="J12" s="504"/>
    </row>
    <row r="13" spans="2:10" ht="15" x14ac:dyDescent="0.25">
      <c r="B13" s="12"/>
      <c r="C13" s="2" t="s">
        <v>261</v>
      </c>
      <c r="D13" s="3" t="s">
        <v>262</v>
      </c>
      <c r="E13" s="2" t="s">
        <v>263</v>
      </c>
      <c r="F13" s="2" t="s">
        <v>264</v>
      </c>
      <c r="G13" s="2" t="s">
        <v>265</v>
      </c>
      <c r="H13" s="3" t="s">
        <v>266</v>
      </c>
      <c r="I13" s="3" t="s">
        <v>267</v>
      </c>
      <c r="J13" s="503"/>
    </row>
    <row r="14" spans="2:10" ht="15" x14ac:dyDescent="0.25">
      <c r="B14" s="12"/>
      <c r="C14" s="82">
        <v>46203</v>
      </c>
      <c r="D14" s="559">
        <v>421.1</v>
      </c>
      <c r="E14" s="84"/>
      <c r="F14" s="84"/>
      <c r="G14" s="84"/>
      <c r="H14" s="84"/>
      <c r="I14" s="531">
        <f>+SUM(D14:H14)</f>
        <v>421.1</v>
      </c>
      <c r="J14" s="503"/>
    </row>
    <row r="15" spans="2:10" ht="15" x14ac:dyDescent="0.25">
      <c r="B15" s="12"/>
      <c r="C15" s="281">
        <v>46568</v>
      </c>
      <c r="D15" s="282">
        <v>419.3</v>
      </c>
      <c r="E15" s="282">
        <v>15.450302000000022</v>
      </c>
      <c r="F15" s="283"/>
      <c r="G15" s="283"/>
      <c r="H15" s="283"/>
      <c r="I15" s="532">
        <f t="shared" ref="I15:I18" si="0">+SUM(D15:H15)</f>
        <v>434.75030200000003</v>
      </c>
      <c r="J15" s="503"/>
    </row>
    <row r="16" spans="2:10" ht="15" x14ac:dyDescent="0.25">
      <c r="B16" s="12"/>
      <c r="C16" s="82">
        <v>46934</v>
      </c>
      <c r="D16" s="83">
        <v>440.8</v>
      </c>
      <c r="E16" s="83">
        <v>0</v>
      </c>
      <c r="F16" s="83">
        <v>16.8</v>
      </c>
      <c r="G16" s="84"/>
      <c r="H16" s="84"/>
      <c r="I16" s="531">
        <f t="shared" si="0"/>
        <v>457.6</v>
      </c>
      <c r="J16" s="503"/>
    </row>
    <row r="17" spans="2:11" ht="15" x14ac:dyDescent="0.25">
      <c r="B17" s="12"/>
      <c r="C17" s="281">
        <v>47299</v>
      </c>
      <c r="D17" s="282">
        <v>445</v>
      </c>
      <c r="E17" s="282">
        <v>0</v>
      </c>
      <c r="F17" s="282">
        <v>0</v>
      </c>
      <c r="G17" s="282">
        <v>0</v>
      </c>
      <c r="H17" s="283"/>
      <c r="I17" s="532">
        <f t="shared" si="0"/>
        <v>445</v>
      </c>
      <c r="J17" s="503"/>
    </row>
    <row r="18" spans="2:11" ht="15" x14ac:dyDescent="0.25">
      <c r="B18" s="12"/>
      <c r="C18" s="202">
        <v>47664</v>
      </c>
      <c r="D18" s="203">
        <v>437.6</v>
      </c>
      <c r="E18" s="203">
        <v>0</v>
      </c>
      <c r="F18" s="203">
        <v>0</v>
      </c>
      <c r="G18" s="203">
        <v>0</v>
      </c>
      <c r="H18" s="203">
        <v>0</v>
      </c>
      <c r="I18" s="533">
        <f t="shared" si="0"/>
        <v>437.6</v>
      </c>
      <c r="J18" s="503"/>
    </row>
    <row r="19" spans="2:11" ht="15" x14ac:dyDescent="0.25">
      <c r="B19" s="12"/>
      <c r="C19" s="505"/>
      <c r="D19" s="506"/>
      <c r="E19" s="506"/>
      <c r="F19" s="506"/>
      <c r="G19" s="506"/>
      <c r="H19" s="506"/>
      <c r="I19" s="507"/>
      <c r="J19" s="503"/>
    </row>
    <row r="20" spans="2:11" ht="15" x14ac:dyDescent="0.25">
      <c r="B20" s="376" t="s">
        <v>673</v>
      </c>
      <c r="C20" s="505"/>
      <c r="D20" s="506"/>
      <c r="E20" s="506"/>
      <c r="F20" s="506"/>
      <c r="G20" s="506"/>
      <c r="H20" s="506"/>
      <c r="I20" s="507"/>
      <c r="J20" s="503"/>
    </row>
    <row r="21" spans="2:11" ht="15" x14ac:dyDescent="0.25">
      <c r="B21" s="20" t="s">
        <v>1063</v>
      </c>
      <c r="C21" s="21"/>
      <c r="D21" s="1"/>
      <c r="E21" s="1"/>
      <c r="F21" s="1"/>
      <c r="G21" s="1"/>
      <c r="H21" s="1"/>
      <c r="I21" s="1"/>
      <c r="J21" s="503"/>
    </row>
    <row r="22" spans="2:11" ht="75" x14ac:dyDescent="0.25">
      <c r="B22" s="12"/>
      <c r="C22" s="80" t="s">
        <v>482</v>
      </c>
      <c r="D22" s="81" t="s">
        <v>1064</v>
      </c>
      <c r="E22" s="81" t="s">
        <v>1065</v>
      </c>
      <c r="F22" s="81" t="s">
        <v>1066</v>
      </c>
      <c r="G22" s="81" t="s">
        <v>1067</v>
      </c>
      <c r="H22" s="81" t="s">
        <v>1068</v>
      </c>
      <c r="I22" s="81" t="s">
        <v>1069</v>
      </c>
      <c r="J22" s="504"/>
    </row>
    <row r="23" spans="2:11" ht="15" x14ac:dyDescent="0.25">
      <c r="B23" s="12"/>
      <c r="C23" s="2" t="s">
        <v>261</v>
      </c>
      <c r="D23" s="3" t="s">
        <v>262</v>
      </c>
      <c r="E23" s="2" t="s">
        <v>263</v>
      </c>
      <c r="F23" s="2" t="s">
        <v>264</v>
      </c>
      <c r="G23" s="2" t="s">
        <v>265</v>
      </c>
      <c r="H23" s="3" t="s">
        <v>266</v>
      </c>
      <c r="I23" s="3" t="s">
        <v>267</v>
      </c>
      <c r="J23" s="503"/>
    </row>
    <row r="24" spans="2:11" ht="15" x14ac:dyDescent="0.25">
      <c r="B24" s="12"/>
      <c r="C24" s="82">
        <v>46203</v>
      </c>
      <c r="D24" s="559">
        <v>432.4</v>
      </c>
      <c r="E24" s="84"/>
      <c r="F24" s="84"/>
      <c r="G24" s="84"/>
      <c r="H24" s="84"/>
      <c r="I24" s="531">
        <f>+SUM(D24:H24)</f>
        <v>432.4</v>
      </c>
      <c r="J24" s="503"/>
    </row>
    <row r="25" spans="2:11" ht="15" x14ac:dyDescent="0.25">
      <c r="B25" s="12"/>
      <c r="C25" s="281">
        <v>46568</v>
      </c>
      <c r="D25" s="282">
        <v>432.2</v>
      </c>
      <c r="E25" s="282">
        <v>15.450302000000022</v>
      </c>
      <c r="F25" s="283"/>
      <c r="G25" s="283"/>
      <c r="H25" s="283"/>
      <c r="I25" s="532">
        <f t="shared" ref="I25:I28" si="1">+SUM(D25:H25)</f>
        <v>447.65030200000001</v>
      </c>
      <c r="J25" s="503"/>
    </row>
    <row r="26" spans="2:11" ht="15" x14ac:dyDescent="0.25">
      <c r="B26" s="12"/>
      <c r="C26" s="82">
        <v>46934</v>
      </c>
      <c r="D26" s="83">
        <v>460.1</v>
      </c>
      <c r="E26" s="83">
        <v>0</v>
      </c>
      <c r="F26" s="83">
        <v>16.8</v>
      </c>
      <c r="G26" s="84"/>
      <c r="H26" s="84"/>
      <c r="I26" s="531">
        <f t="shared" si="1"/>
        <v>476.90000000000003</v>
      </c>
      <c r="J26" s="503"/>
    </row>
    <row r="27" spans="2:11" ht="15" x14ac:dyDescent="0.25">
      <c r="B27" s="12"/>
      <c r="C27" s="281">
        <v>47299</v>
      </c>
      <c r="D27" s="282">
        <v>457</v>
      </c>
      <c r="E27" s="282">
        <v>0</v>
      </c>
      <c r="F27" s="282">
        <v>0</v>
      </c>
      <c r="G27" s="282">
        <v>0</v>
      </c>
      <c r="H27" s="283"/>
      <c r="I27" s="532">
        <f t="shared" si="1"/>
        <v>457</v>
      </c>
      <c r="J27" s="503"/>
    </row>
    <row r="28" spans="2:11" ht="15" x14ac:dyDescent="0.25">
      <c r="B28" s="12"/>
      <c r="C28" s="202">
        <v>47664</v>
      </c>
      <c r="D28" s="203">
        <v>448.7</v>
      </c>
      <c r="E28" s="203">
        <v>0</v>
      </c>
      <c r="F28" s="203">
        <v>0</v>
      </c>
      <c r="G28" s="203">
        <v>0</v>
      </c>
      <c r="H28" s="203">
        <v>0</v>
      </c>
      <c r="I28" s="533">
        <f t="shared" si="1"/>
        <v>448.7</v>
      </c>
      <c r="J28" s="503"/>
    </row>
    <row r="29" spans="2:11" ht="15" x14ac:dyDescent="0.25">
      <c r="B29" s="17"/>
      <c r="C29" s="508"/>
      <c r="D29" s="509"/>
      <c r="E29" s="509"/>
      <c r="F29" s="509"/>
      <c r="G29" s="509"/>
      <c r="H29" s="509"/>
      <c r="I29" s="510"/>
      <c r="J29" s="511"/>
    </row>
    <row r="30" spans="2:11" ht="15" x14ac:dyDescent="0.25">
      <c r="B30" s="153" t="str">
        <f>'Directors Certificate'!B57</f>
        <v>Transpower's Annual Compliance Statement for the year ending 30 June 2026</v>
      </c>
      <c r="C30" s="151"/>
      <c r="D30" s="151"/>
      <c r="E30" s="151"/>
      <c r="F30" s="309"/>
      <c r="G30" s="309"/>
      <c r="H30" s="309"/>
      <c r="I30" s="309"/>
      <c r="J30" s="309"/>
      <c r="K30" s="309"/>
    </row>
  </sheetData>
  <mergeCells count="4">
    <mergeCell ref="B6:J6"/>
    <mergeCell ref="B2:E2"/>
    <mergeCell ref="B5:J5"/>
    <mergeCell ref="B7:J7"/>
  </mergeCells>
  <hyperlinks>
    <hyperlink ref="B2" location="Contents!A1" display="A summary of pass-through costs and recoverable costs for the disclosure year as set out in Schedule H" xr:uid="{DE1101D3-AF8D-479D-BBEC-0719DA2C0C51}"/>
    <hyperlink ref="B2:E2" location="'Table of Contents'!A1" display="'Table of Contents'!A1" xr:uid="{121489A5-2B5A-46A3-A918-944BDB279F36}"/>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17708-9C26-4934-84C5-54308243A7B8}">
  <sheetPr>
    <tabColor theme="3" tint="0.249977111117893"/>
    <pageSetUpPr fitToPage="1"/>
  </sheetPr>
  <dimension ref="B1:P57"/>
  <sheetViews>
    <sheetView view="pageBreakPreview" zoomScale="85" zoomScaleNormal="100" zoomScaleSheetLayoutView="85" workbookViewId="0"/>
  </sheetViews>
  <sheetFormatPr defaultColWidth="9.140625" defaultRowHeight="12.75" x14ac:dyDescent="0.2"/>
  <cols>
    <col min="1" max="1" width="9.140625" style="5"/>
    <col min="2" max="2" width="6" style="5" customWidth="1"/>
    <col min="3" max="3" width="23.42578125" style="5" customWidth="1"/>
    <col min="4" max="4" width="49.85546875" style="5" customWidth="1"/>
    <col min="5" max="5" width="16.140625" style="5" customWidth="1"/>
    <col min="6" max="9" width="11.85546875" style="5" customWidth="1"/>
    <col min="10" max="10" width="14.42578125" style="5" customWidth="1"/>
    <col min="11" max="11" width="7.85546875" style="5" customWidth="1"/>
    <col min="12" max="16384" width="9.140625" style="5"/>
  </cols>
  <sheetData>
    <row r="1" spans="2:13" ht="15" customHeight="1" x14ac:dyDescent="0.2"/>
    <row r="2" spans="2:13" ht="39" customHeight="1" x14ac:dyDescent="0.3">
      <c r="B2" s="1220" t="s">
        <v>674</v>
      </c>
      <c r="C2" s="1220"/>
      <c r="D2" s="1220"/>
      <c r="E2" s="1220"/>
      <c r="F2" s="351"/>
      <c r="G2" s="351"/>
      <c r="H2" s="351"/>
      <c r="I2" s="351"/>
      <c r="J2" s="351"/>
      <c r="K2" s="351"/>
    </row>
    <row r="3" spans="2:13" ht="33.75" customHeight="1" x14ac:dyDescent="0.2">
      <c r="B3" s="351"/>
      <c r="C3" s="351"/>
      <c r="D3" s="351"/>
      <c r="E3" s="352"/>
      <c r="F3" s="351"/>
      <c r="G3" s="351"/>
      <c r="H3" s="352"/>
      <c r="I3" s="757" t="s">
        <v>3</v>
      </c>
      <c r="J3" s="756">
        <f>+'4_RAB'!E3</f>
        <v>46203</v>
      </c>
      <c r="K3" s="351"/>
    </row>
    <row r="4" spans="2:13" ht="33.75" customHeight="1" x14ac:dyDescent="0.2">
      <c r="B4" s="260" t="s">
        <v>1109</v>
      </c>
      <c r="C4" s="204"/>
      <c r="D4" s="204"/>
      <c r="E4" s="204"/>
      <c r="F4" s="459"/>
      <c r="G4" s="459"/>
      <c r="H4" s="459"/>
      <c r="I4" s="459"/>
      <c r="J4" s="459"/>
      <c r="K4" s="460"/>
    </row>
    <row r="5" spans="2:13" ht="69.95" customHeight="1" x14ac:dyDescent="0.2">
      <c r="B5" s="1152" t="s">
        <v>1070</v>
      </c>
      <c r="C5" s="1153"/>
      <c r="D5" s="1153"/>
      <c r="E5" s="1153"/>
      <c r="F5" s="1153"/>
      <c r="G5" s="1153"/>
      <c r="H5" s="1153"/>
      <c r="I5" s="1153"/>
      <c r="J5" s="1153"/>
      <c r="K5" s="1154"/>
      <c r="M5" s="150"/>
    </row>
    <row r="6" spans="2:13" ht="45.75" customHeight="1" x14ac:dyDescent="0.2">
      <c r="B6" s="1135" t="s">
        <v>1071</v>
      </c>
      <c r="C6" s="1136"/>
      <c r="D6" s="1136"/>
      <c r="E6" s="1136"/>
      <c r="F6" s="1136"/>
      <c r="G6" s="1136"/>
      <c r="H6" s="1136"/>
      <c r="I6" s="1136"/>
      <c r="J6" s="1136"/>
      <c r="K6" s="1137"/>
    </row>
    <row r="7" spans="2:13" ht="15" customHeight="1" x14ac:dyDescent="0.2">
      <c r="B7" s="105"/>
      <c r="K7" s="236"/>
    </row>
    <row r="8" spans="2:13" ht="15" customHeight="1" x14ac:dyDescent="0.25">
      <c r="B8" s="376" t="s">
        <v>675</v>
      </c>
      <c r="C8" s="512"/>
      <c r="D8" s="513"/>
      <c r="E8" s="512"/>
      <c r="F8" s="512"/>
      <c r="G8" s="512"/>
      <c r="H8" s="512"/>
      <c r="I8" s="512"/>
      <c r="J8" s="512"/>
      <c r="K8" s="236"/>
    </row>
    <row r="9" spans="2:13" ht="15" customHeight="1" x14ac:dyDescent="0.2">
      <c r="B9" s="105"/>
      <c r="D9" s="1225" t="s">
        <v>505</v>
      </c>
      <c r="E9" s="1227" t="s">
        <v>9</v>
      </c>
      <c r="F9" s="338" t="s">
        <v>506</v>
      </c>
      <c r="G9" s="339"/>
      <c r="H9" s="339"/>
      <c r="I9" s="339"/>
      <c r="J9" s="340"/>
      <c r="K9" s="236"/>
    </row>
    <row r="10" spans="2:13" ht="15" customHeight="1" x14ac:dyDescent="0.2">
      <c r="B10" s="105"/>
      <c r="D10" s="1226"/>
      <c r="E10" s="1228"/>
      <c r="F10" s="11">
        <v>2026</v>
      </c>
      <c r="G10" s="125">
        <f>F10+1</f>
        <v>2027</v>
      </c>
      <c r="H10" s="125">
        <f t="shared" ref="H10:J10" si="0">G10+1</f>
        <v>2028</v>
      </c>
      <c r="I10" s="125">
        <f t="shared" si="0"/>
        <v>2029</v>
      </c>
      <c r="J10" s="534">
        <f t="shared" si="0"/>
        <v>2030</v>
      </c>
      <c r="K10" s="236"/>
    </row>
    <row r="11" spans="2:13" ht="25.5" x14ac:dyDescent="0.2">
      <c r="B11" s="121" t="s">
        <v>676</v>
      </c>
      <c r="C11" s="1229" t="s">
        <v>508</v>
      </c>
      <c r="D11" s="112" t="s">
        <v>1081</v>
      </c>
      <c r="E11" s="418" t="s">
        <v>677</v>
      </c>
      <c r="F11" s="123">
        <f>'8_OpexAllowance'!I14</f>
        <v>421.1</v>
      </c>
      <c r="G11" s="123">
        <f>'8_OpexAllowance'!I15</f>
        <v>434.75030200000003</v>
      </c>
      <c r="H11" s="123">
        <f>'8_OpexAllowance'!I16</f>
        <v>457.6</v>
      </c>
      <c r="I11" s="123">
        <f>'8_OpexAllowance'!I17</f>
        <v>445</v>
      </c>
      <c r="J11" s="124">
        <f>'8_OpexAllowance'!I18</f>
        <v>437.6</v>
      </c>
      <c r="K11" s="236"/>
    </row>
    <row r="12" spans="2:13" ht="28.5" customHeight="1" x14ac:dyDescent="0.2">
      <c r="B12" s="121" t="s">
        <v>678</v>
      </c>
      <c r="C12" s="1230"/>
      <c r="D12" s="396" t="s">
        <v>679</v>
      </c>
      <c r="E12" s="397" t="s">
        <v>229</v>
      </c>
      <c r="F12" s="383">
        <f>F13-F11</f>
        <v>11.299999999999955</v>
      </c>
      <c r="G12" s="383">
        <f t="shared" ref="G12:J12" si="1">G13-G11</f>
        <v>12.899999999999977</v>
      </c>
      <c r="H12" s="383">
        <f t="shared" si="1"/>
        <v>19.300000000000011</v>
      </c>
      <c r="I12" s="383">
        <f t="shared" si="1"/>
        <v>12</v>
      </c>
      <c r="J12" s="384">
        <f t="shared" si="1"/>
        <v>11.099999999999966</v>
      </c>
      <c r="K12" s="236"/>
    </row>
    <row r="13" spans="2:13" ht="25.5" x14ac:dyDescent="0.2">
      <c r="B13" s="121" t="s">
        <v>680</v>
      </c>
      <c r="C13" s="1231"/>
      <c r="D13" s="126" t="s">
        <v>1072</v>
      </c>
      <c r="E13" s="419" t="s">
        <v>681</v>
      </c>
      <c r="F13" s="558">
        <f>'8_OpexAllowance'!I24</f>
        <v>432.4</v>
      </c>
      <c r="G13" s="123">
        <f>'8_OpexAllowance'!I25</f>
        <v>447.65030200000001</v>
      </c>
      <c r="H13" s="123">
        <f>'8_OpexAllowance'!I26</f>
        <v>476.90000000000003</v>
      </c>
      <c r="I13" s="123">
        <f>'8_OpexAllowance'!I27</f>
        <v>457</v>
      </c>
      <c r="J13" s="124">
        <f>'8_OpexAllowance'!I28</f>
        <v>448.7</v>
      </c>
      <c r="K13" s="236"/>
    </row>
    <row r="14" spans="2:13" ht="30.75" customHeight="1" x14ac:dyDescent="0.2">
      <c r="B14" s="121" t="s">
        <v>682</v>
      </c>
      <c r="C14" s="1229" t="s">
        <v>683</v>
      </c>
      <c r="D14" s="112" t="s">
        <v>1081</v>
      </c>
      <c r="E14" s="132" t="s">
        <v>229</v>
      </c>
      <c r="F14" s="113">
        <f>F11/'1_Inputs'!I23</f>
        <v>385.88127983488147</v>
      </c>
      <c r="G14" s="114">
        <f>G11/'1_Inputs'!J23</f>
        <v>390.57837071060675</v>
      </c>
      <c r="H14" s="114">
        <f>H11/'1_Inputs'!K23</f>
        <v>403.04555983948268</v>
      </c>
      <c r="I14" s="114">
        <f>I11/'1_Inputs'!L23</f>
        <v>384.26246513902413</v>
      </c>
      <c r="J14" s="115">
        <f>J11/'1_Inputs'!M23</f>
        <v>370.46321820849738</v>
      </c>
      <c r="K14" s="236"/>
    </row>
    <row r="15" spans="2:13" ht="28.5" customHeight="1" x14ac:dyDescent="0.2">
      <c r="B15" s="121" t="s">
        <v>684</v>
      </c>
      <c r="C15" s="1230"/>
      <c r="D15" s="396" t="s">
        <v>679</v>
      </c>
      <c r="E15" s="381" t="s">
        <v>229</v>
      </c>
      <c r="F15" s="382">
        <f>+F12/'1_Inputs'!I23</f>
        <v>10.354923918627744</v>
      </c>
      <c r="G15" s="383">
        <f>G12/'1_Inputs'!J23</f>
        <v>11.589321408146642</v>
      </c>
      <c r="H15" s="383">
        <f>H12/'1_Inputs'!K23</f>
        <v>16.999080648824343</v>
      </c>
      <c r="I15" s="383">
        <f>I12/'1_Inputs'!L23</f>
        <v>10.362133891389416</v>
      </c>
      <c r="J15" s="384">
        <f>J12/'1_Inputs'!M23</f>
        <v>9.3970331858188025</v>
      </c>
      <c r="K15" s="236"/>
    </row>
    <row r="16" spans="2:13" ht="35.25" customHeight="1" x14ac:dyDescent="0.2">
      <c r="B16" s="121" t="s">
        <v>685</v>
      </c>
      <c r="C16" s="1231"/>
      <c r="D16" s="126" t="s">
        <v>1072</v>
      </c>
      <c r="E16" s="122" t="s">
        <v>229</v>
      </c>
      <c r="F16" s="558">
        <f>+F15+F14</f>
        <v>396.23620375350919</v>
      </c>
      <c r="G16" s="123">
        <f t="shared" ref="G16:J16" si="2">SUM(G14:G15)</f>
        <v>402.16769211875339</v>
      </c>
      <c r="H16" s="123">
        <f t="shared" si="2"/>
        <v>420.04464048830704</v>
      </c>
      <c r="I16" s="123">
        <f t="shared" si="2"/>
        <v>394.62459903041355</v>
      </c>
      <c r="J16" s="124">
        <f t="shared" si="2"/>
        <v>379.86025139431621</v>
      </c>
      <c r="K16" s="236"/>
    </row>
    <row r="17" spans="2:13" ht="27.75" customHeight="1" x14ac:dyDescent="0.2">
      <c r="B17" s="121" t="s">
        <v>686</v>
      </c>
      <c r="C17" s="1222" t="s">
        <v>514</v>
      </c>
      <c r="D17" s="411" t="s">
        <v>1081</v>
      </c>
      <c r="E17" s="437" t="s">
        <v>229</v>
      </c>
      <c r="F17" s="557">
        <f>IFERROR(F14*'1_Inputs'!I25,0)</f>
        <v>426.24009083042711</v>
      </c>
      <c r="G17" s="392">
        <f>IFERROR(G14*'1_Inputs'!J25,0)</f>
        <v>0</v>
      </c>
      <c r="H17" s="392">
        <f>IFERROR(H14*'1_Inputs'!K25,0)</f>
        <v>0</v>
      </c>
      <c r="I17" s="392">
        <f>IFERROR(I14*'1_Inputs'!L25,0)</f>
        <v>0</v>
      </c>
      <c r="J17" s="393">
        <f>IFERROR(J14*'1_Inputs'!M25,0)</f>
        <v>0</v>
      </c>
      <c r="K17" s="236"/>
    </row>
    <row r="18" spans="2:13" ht="30.75" customHeight="1" x14ac:dyDescent="0.2">
      <c r="B18" s="121" t="s">
        <v>687</v>
      </c>
      <c r="C18" s="1223"/>
      <c r="D18" s="410" t="s">
        <v>679</v>
      </c>
      <c r="E18" s="438" t="s">
        <v>229</v>
      </c>
      <c r="F18" s="363">
        <f>IFERROR(F15*'1_Inputs'!I25,0)</f>
        <v>11.437931670348627</v>
      </c>
      <c r="G18" s="364">
        <f>IFERROR(G15*'1_Inputs'!J25,0)</f>
        <v>0</v>
      </c>
      <c r="H18" s="364">
        <f>IFERROR(H15*'1_Inputs'!K25,0)</f>
        <v>0</v>
      </c>
      <c r="I18" s="364">
        <f>IFERROR(I15*'1_Inputs'!L25,0)</f>
        <v>0</v>
      </c>
      <c r="J18" s="365">
        <f>IFERROR(J15*'1_Inputs'!M25,0)</f>
        <v>0</v>
      </c>
      <c r="K18" s="236"/>
    </row>
    <row r="19" spans="2:13" ht="30.75" customHeight="1" x14ac:dyDescent="0.2">
      <c r="B19" s="121" t="s">
        <v>688</v>
      </c>
      <c r="C19" s="1224"/>
      <c r="D19" s="307" t="s">
        <v>1072</v>
      </c>
      <c r="E19" s="394" t="s">
        <v>229</v>
      </c>
      <c r="F19" s="439">
        <f>+F18+F17</f>
        <v>437.67802250077574</v>
      </c>
      <c r="G19" s="440">
        <f t="shared" ref="G19:J19" si="3">SUM(G17:G18)</f>
        <v>0</v>
      </c>
      <c r="H19" s="440">
        <f t="shared" si="3"/>
        <v>0</v>
      </c>
      <c r="I19" s="440">
        <f t="shared" si="3"/>
        <v>0</v>
      </c>
      <c r="J19" s="441">
        <f t="shared" si="3"/>
        <v>0</v>
      </c>
      <c r="K19" s="236"/>
    </row>
    <row r="20" spans="2:13" ht="15" customHeight="1" x14ac:dyDescent="0.2">
      <c r="B20" s="105"/>
      <c r="K20" s="236"/>
    </row>
    <row r="21" spans="2:13" ht="49.5" customHeight="1" x14ac:dyDescent="0.2">
      <c r="B21" s="105"/>
      <c r="C21" s="1237" t="s">
        <v>1049</v>
      </c>
      <c r="D21" s="1238"/>
      <c r="E21" s="1238"/>
      <c r="F21" s="1238"/>
      <c r="G21" s="1238"/>
      <c r="H21" s="1238"/>
      <c r="I21" s="1238"/>
      <c r="J21" s="1239"/>
      <c r="K21" s="236"/>
    </row>
    <row r="22" spans="2:13" ht="15" customHeight="1" x14ac:dyDescent="0.2">
      <c r="B22" s="237"/>
      <c r="C22" s="238"/>
      <c r="D22" s="238"/>
      <c r="E22" s="238"/>
      <c r="F22" s="238"/>
      <c r="G22" s="238"/>
      <c r="H22" s="238"/>
      <c r="I22" s="238"/>
      <c r="J22" s="238"/>
      <c r="K22" s="239"/>
    </row>
    <row r="23" spans="2:13" ht="16.5" customHeight="1" x14ac:dyDescent="0.2">
      <c r="B23" s="260" t="s">
        <v>689</v>
      </c>
      <c r="C23" s="204"/>
      <c r="D23" s="204"/>
      <c r="E23" s="204"/>
      <c r="F23" s="204"/>
      <c r="G23" s="204"/>
      <c r="H23" s="204"/>
      <c r="I23" s="204"/>
      <c r="J23" s="204"/>
      <c r="K23" s="436"/>
      <c r="M23" s="150"/>
    </row>
    <row r="24" spans="2:13" ht="34.5" customHeight="1" x14ac:dyDescent="0.2">
      <c r="B24" s="1240" t="s">
        <v>1082</v>
      </c>
      <c r="C24" s="1241"/>
      <c r="D24" s="1241"/>
      <c r="E24" s="1241"/>
      <c r="F24" s="1241"/>
      <c r="G24" s="1241"/>
      <c r="H24" s="1241"/>
      <c r="I24" s="1241"/>
      <c r="J24" s="1241"/>
      <c r="K24" s="1242"/>
    </row>
    <row r="25" spans="2:13" ht="34.5" customHeight="1" x14ac:dyDescent="0.2">
      <c r="B25" s="1135" t="s">
        <v>1073</v>
      </c>
      <c r="C25" s="1136"/>
      <c r="D25" s="1136"/>
      <c r="E25" s="1136"/>
      <c r="F25" s="1136"/>
      <c r="G25" s="1136"/>
      <c r="H25" s="1136"/>
      <c r="I25" s="1136"/>
      <c r="J25" s="1136"/>
      <c r="K25" s="1137"/>
    </row>
    <row r="26" spans="2:13" ht="15" x14ac:dyDescent="0.2">
      <c r="B26" s="374"/>
      <c r="C26" s="347"/>
      <c r="D26" s="347"/>
      <c r="E26" s="347"/>
      <c r="F26" s="347"/>
      <c r="G26" s="347"/>
      <c r="H26" s="347"/>
      <c r="I26" s="347"/>
      <c r="J26" s="347"/>
      <c r="K26" s="348"/>
    </row>
    <row r="27" spans="2:13" ht="19.5" customHeight="1" x14ac:dyDescent="0.25">
      <c r="B27" s="376" t="s">
        <v>690</v>
      </c>
      <c r="C27" s="106"/>
      <c r="F27" s="1"/>
      <c r="G27" s="1"/>
      <c r="H27" s="758"/>
      <c r="I27" s="1"/>
      <c r="J27" s="1"/>
      <c r="K27" s="104"/>
    </row>
    <row r="28" spans="2:13" ht="15" customHeight="1" x14ac:dyDescent="0.2">
      <c r="B28" s="105"/>
      <c r="C28" s="412" t="s">
        <v>692</v>
      </c>
      <c r="D28" s="413"/>
      <c r="E28" s="414"/>
      <c r="F28" s="338" t="s">
        <v>506</v>
      </c>
      <c r="G28" s="339"/>
      <c r="H28" s="339"/>
      <c r="I28" s="339"/>
      <c r="J28" s="340"/>
      <c r="K28" s="104"/>
    </row>
    <row r="29" spans="2:13" ht="15" customHeight="1" x14ac:dyDescent="0.2">
      <c r="B29" s="105"/>
      <c r="C29" s="415"/>
      <c r="D29" s="416"/>
      <c r="E29" s="417"/>
      <c r="F29" s="7">
        <v>2026</v>
      </c>
      <c r="G29" s="110">
        <f>F29+1</f>
        <v>2027</v>
      </c>
      <c r="H29" s="110">
        <f t="shared" ref="H29:J29" si="4">G29+1</f>
        <v>2028</v>
      </c>
      <c r="I29" s="110">
        <f t="shared" si="4"/>
        <v>2029</v>
      </c>
      <c r="J29" s="10">
        <f t="shared" si="4"/>
        <v>2030</v>
      </c>
      <c r="K29" s="104"/>
    </row>
    <row r="30" spans="2:13" ht="27.95" customHeight="1" x14ac:dyDescent="0.2">
      <c r="B30" s="105"/>
      <c r="C30" s="1152" t="s">
        <v>1050</v>
      </c>
      <c r="D30" s="1153"/>
      <c r="E30" s="407" t="s">
        <v>229</v>
      </c>
      <c r="F30" s="113">
        <f>F17</f>
        <v>426.24009083042711</v>
      </c>
      <c r="G30" s="114">
        <f>G17</f>
        <v>0</v>
      </c>
      <c r="H30" s="114">
        <f>H17</f>
        <v>0</v>
      </c>
      <c r="I30" s="114">
        <f>I17</f>
        <v>0</v>
      </c>
      <c r="J30" s="115">
        <f>J17</f>
        <v>0</v>
      </c>
      <c r="K30" s="104"/>
    </row>
    <row r="31" spans="2:13" ht="15" customHeight="1" x14ac:dyDescent="0.2">
      <c r="B31" s="121" t="s">
        <v>439</v>
      </c>
      <c r="C31" s="409" t="s">
        <v>1074</v>
      </c>
      <c r="D31" s="406"/>
      <c r="E31" s="408" t="s">
        <v>693</v>
      </c>
      <c r="F31" s="799">
        <v>402.13072067869803</v>
      </c>
      <c r="G31" s="383"/>
      <c r="H31" s="383"/>
      <c r="I31" s="383"/>
      <c r="J31" s="384"/>
      <c r="K31" s="104"/>
      <c r="M31" s="762"/>
    </row>
    <row r="32" spans="2:13" ht="15" customHeight="1" x14ac:dyDescent="0.2">
      <c r="B32" s="105"/>
      <c r="C32" s="117" t="s">
        <v>390</v>
      </c>
      <c r="D32" s="128"/>
      <c r="E32" s="128"/>
      <c r="F32" s="118">
        <f>F30-F31</f>
        <v>24.109370151729081</v>
      </c>
      <c r="G32" s="119">
        <f t="shared" ref="G32:J32" si="5">G30-G31</f>
        <v>0</v>
      </c>
      <c r="H32" s="119">
        <f t="shared" si="5"/>
        <v>0</v>
      </c>
      <c r="I32" s="119">
        <f t="shared" si="5"/>
        <v>0</v>
      </c>
      <c r="J32" s="120">
        <f t="shared" si="5"/>
        <v>0</v>
      </c>
      <c r="K32" s="104"/>
    </row>
    <row r="33" spans="2:13" ht="15" customHeight="1" x14ac:dyDescent="0.2">
      <c r="B33" s="105"/>
      <c r="K33" s="104"/>
    </row>
    <row r="34" spans="2:13" ht="15" customHeight="1" x14ac:dyDescent="0.2">
      <c r="B34" s="105"/>
      <c r="C34" s="1232" t="s">
        <v>694</v>
      </c>
      <c r="D34" s="1232"/>
      <c r="E34" s="1232"/>
      <c r="K34" s="104"/>
    </row>
    <row r="35" spans="2:13" ht="15" customHeight="1" x14ac:dyDescent="0.2">
      <c r="B35" s="105"/>
      <c r="C35" s="1234" t="s">
        <v>695</v>
      </c>
      <c r="D35" s="1235"/>
      <c r="E35" s="1235"/>
      <c r="F35" s="1235"/>
      <c r="G35" s="1235"/>
      <c r="H35" s="1235"/>
      <c r="I35" s="1235"/>
      <c r="J35" s="1236"/>
      <c r="K35" s="104"/>
    </row>
    <row r="36" spans="2:13" ht="15" customHeight="1" x14ac:dyDescent="0.2">
      <c r="B36" s="105"/>
      <c r="K36" s="104"/>
    </row>
    <row r="37" spans="2:13" ht="15" x14ac:dyDescent="0.25">
      <c r="B37" s="376" t="s">
        <v>696</v>
      </c>
      <c r="C37" s="106"/>
      <c r="F37" s="1"/>
      <c r="G37" s="1"/>
      <c r="H37" s="758" t="s">
        <v>691</v>
      </c>
      <c r="I37" s="1"/>
      <c r="J37" s="1"/>
      <c r="K37" s="104"/>
    </row>
    <row r="38" spans="2:13" x14ac:dyDescent="0.2">
      <c r="B38" s="105"/>
      <c r="C38" s="412" t="s">
        <v>697</v>
      </c>
      <c r="D38" s="413"/>
      <c r="E38" s="414"/>
      <c r="F38" s="338" t="s">
        <v>506</v>
      </c>
      <c r="G38" s="339"/>
      <c r="H38" s="339"/>
      <c r="I38" s="339"/>
      <c r="J38" s="340"/>
      <c r="K38" s="104"/>
    </row>
    <row r="39" spans="2:13" x14ac:dyDescent="0.2">
      <c r="B39" s="105"/>
      <c r="C39" s="415"/>
      <c r="D39" s="416"/>
      <c r="E39" s="417"/>
      <c r="F39" s="9">
        <v>2026</v>
      </c>
      <c r="G39" s="9">
        <f>F39+1</f>
        <v>2027</v>
      </c>
      <c r="H39" s="9">
        <f t="shared" ref="H39:J39" si="6">G39+1</f>
        <v>2028</v>
      </c>
      <c r="I39" s="9">
        <f t="shared" si="6"/>
        <v>2029</v>
      </c>
      <c r="J39" s="10">
        <f t="shared" si="6"/>
        <v>2030</v>
      </c>
      <c r="K39" s="104"/>
    </row>
    <row r="40" spans="2:13" x14ac:dyDescent="0.2">
      <c r="B40" s="105"/>
      <c r="C40" s="108" t="s">
        <v>698</v>
      </c>
      <c r="D40" s="405"/>
      <c r="E40" s="127" t="s">
        <v>229</v>
      </c>
      <c r="F40" s="113">
        <f>+F18</f>
        <v>11.437931670348627</v>
      </c>
      <c r="G40" s="114">
        <f>+G18</f>
        <v>0</v>
      </c>
      <c r="H40" s="114">
        <f>+H18</f>
        <v>0</v>
      </c>
      <c r="I40" s="114">
        <f>+I18</f>
        <v>0</v>
      </c>
      <c r="J40" s="115">
        <f>+J18</f>
        <v>0</v>
      </c>
      <c r="K40" s="104"/>
    </row>
    <row r="41" spans="2:13" x14ac:dyDescent="0.2">
      <c r="B41" s="116" t="s">
        <v>439</v>
      </c>
      <c r="C41" s="409" t="s">
        <v>699</v>
      </c>
      <c r="D41" s="404"/>
      <c r="E41" s="395" t="s">
        <v>693</v>
      </c>
      <c r="F41" s="800">
        <v>12.728785999999999</v>
      </c>
      <c r="G41" s="383"/>
      <c r="H41" s="383"/>
      <c r="I41" s="383"/>
      <c r="J41" s="384"/>
      <c r="K41" s="104"/>
      <c r="M41" s="762"/>
    </row>
    <row r="42" spans="2:13" x14ac:dyDescent="0.2">
      <c r="B42" s="105"/>
      <c r="C42" s="117" t="s">
        <v>390</v>
      </c>
      <c r="D42" s="128"/>
      <c r="E42" s="128"/>
      <c r="F42" s="118">
        <f>F40-F41</f>
        <v>-1.2908543296513724</v>
      </c>
      <c r="G42" s="119">
        <f t="shared" ref="G42:J42" si="7">G40-G41</f>
        <v>0</v>
      </c>
      <c r="H42" s="119">
        <f t="shared" si="7"/>
        <v>0</v>
      </c>
      <c r="I42" s="119">
        <f t="shared" si="7"/>
        <v>0</v>
      </c>
      <c r="J42" s="120">
        <f t="shared" si="7"/>
        <v>0</v>
      </c>
      <c r="K42" s="104"/>
    </row>
    <row r="43" spans="2:13" x14ac:dyDescent="0.2">
      <c r="B43" s="105"/>
      <c r="K43" s="104"/>
    </row>
    <row r="44" spans="2:13" x14ac:dyDescent="0.2">
      <c r="B44" s="105"/>
      <c r="C44" s="1232" t="s">
        <v>694</v>
      </c>
      <c r="D44" s="1233"/>
      <c r="E44" s="1233"/>
      <c r="K44" s="104"/>
    </row>
    <row r="45" spans="2:13" ht="30.75" customHeight="1" x14ac:dyDescent="0.2">
      <c r="B45" s="105"/>
      <c r="C45" s="1234"/>
      <c r="D45" s="1235"/>
      <c r="E45" s="1235"/>
      <c r="F45" s="1235"/>
      <c r="G45" s="1235"/>
      <c r="H45" s="1235"/>
      <c r="I45" s="1235"/>
      <c r="J45" s="1236"/>
      <c r="K45" s="104"/>
    </row>
    <row r="46" spans="2:13" ht="15" customHeight="1" x14ac:dyDescent="0.2">
      <c r="B46" s="105"/>
      <c r="K46" s="104"/>
    </row>
    <row r="47" spans="2:13" ht="15" x14ac:dyDescent="0.25">
      <c r="B47" s="376" t="s">
        <v>700</v>
      </c>
      <c r="C47" s="106"/>
      <c r="F47" s="1"/>
      <c r="G47" s="1"/>
      <c r="H47" s="758"/>
      <c r="I47" s="1"/>
      <c r="J47" s="1"/>
      <c r="K47" s="104"/>
    </row>
    <row r="48" spans="2:13" x14ac:dyDescent="0.2">
      <c r="B48" s="105"/>
      <c r="C48" s="412" t="s">
        <v>247</v>
      </c>
      <c r="D48" s="413"/>
      <c r="E48" s="414"/>
      <c r="F48" s="338" t="s">
        <v>506</v>
      </c>
      <c r="G48" s="339"/>
      <c r="H48" s="339"/>
      <c r="I48" s="339"/>
      <c r="J48" s="340"/>
      <c r="K48" s="104"/>
    </row>
    <row r="49" spans="2:16" x14ac:dyDescent="0.2">
      <c r="B49" s="105"/>
      <c r="C49" s="415"/>
      <c r="D49" s="416"/>
      <c r="E49" s="417"/>
      <c r="F49" s="9">
        <v>2026</v>
      </c>
      <c r="G49" s="9">
        <f>F49+1</f>
        <v>2027</v>
      </c>
      <c r="H49" s="9">
        <f t="shared" ref="H49" si="8">G49+1</f>
        <v>2028</v>
      </c>
      <c r="I49" s="9">
        <f t="shared" ref="I49" si="9">H49+1</f>
        <v>2029</v>
      </c>
      <c r="J49" s="10">
        <f t="shared" ref="J49" si="10">I49+1</f>
        <v>2030</v>
      </c>
      <c r="K49" s="104"/>
    </row>
    <row r="50" spans="2:16" ht="17.25" customHeight="1" x14ac:dyDescent="0.2">
      <c r="B50" s="105"/>
      <c r="C50" s="1138" t="s">
        <v>701</v>
      </c>
      <c r="D50" s="1139"/>
      <c r="E50" s="127" t="s">
        <v>229</v>
      </c>
      <c r="F50" s="113">
        <f>+F30+F40</f>
        <v>437.67802250077574</v>
      </c>
      <c r="G50" s="114">
        <f>+G19</f>
        <v>0</v>
      </c>
      <c r="H50" s="114">
        <f>+H19</f>
        <v>0</v>
      </c>
      <c r="I50" s="114">
        <f>+I19</f>
        <v>0</v>
      </c>
      <c r="J50" s="115">
        <f>+J19</f>
        <v>0</v>
      </c>
      <c r="K50" s="104"/>
    </row>
    <row r="51" spans="2:16" x14ac:dyDescent="0.2">
      <c r="B51" s="116" t="s">
        <v>439</v>
      </c>
      <c r="C51" s="761" t="s">
        <v>1051</v>
      </c>
      <c r="D51" s="759"/>
      <c r="E51" s="760" t="s">
        <v>229</v>
      </c>
      <c r="F51" s="558">
        <f>+F31+F41</f>
        <v>414.85950667869804</v>
      </c>
      <c r="G51" s="123"/>
      <c r="H51" s="123"/>
      <c r="I51" s="123"/>
      <c r="J51" s="124"/>
      <c r="K51" s="104"/>
    </row>
    <row r="52" spans="2:16" x14ac:dyDescent="0.2">
      <c r="B52" s="105"/>
      <c r="C52" s="117" t="s">
        <v>390</v>
      </c>
      <c r="D52" s="128"/>
      <c r="E52" s="128"/>
      <c r="F52" s="118">
        <f>F50-F51</f>
        <v>22.8185158220777</v>
      </c>
      <c r="G52" s="119">
        <f t="shared" ref="G52:J52" si="11">G50-G51</f>
        <v>0</v>
      </c>
      <c r="H52" s="119">
        <f t="shared" si="11"/>
        <v>0</v>
      </c>
      <c r="I52" s="119">
        <f t="shared" si="11"/>
        <v>0</v>
      </c>
      <c r="J52" s="120">
        <f t="shared" si="11"/>
        <v>0</v>
      </c>
      <c r="K52" s="104"/>
    </row>
    <row r="53" spans="2:16" ht="15" x14ac:dyDescent="0.25">
      <c r="B53" s="131"/>
      <c r="C53" s="103"/>
      <c r="D53" s="103"/>
      <c r="E53" s="103"/>
      <c r="F53" s="103"/>
      <c r="G53" s="103"/>
      <c r="H53" s="103"/>
      <c r="I53" s="103"/>
      <c r="J53" s="103"/>
      <c r="K53" s="221"/>
      <c r="L53"/>
      <c r="M53"/>
      <c r="N53"/>
      <c r="O53"/>
      <c r="P53"/>
    </row>
    <row r="54" spans="2:16" ht="15" x14ac:dyDescent="0.25">
      <c r="B54" s="153" t="str">
        <f>'Directors Certificate'!B57</f>
        <v>Transpower's Annual Compliance Statement for the year ending 30 June 2026</v>
      </c>
      <c r="C54" s="151"/>
      <c r="D54" s="151"/>
      <c r="E54" s="151"/>
      <c r="F54" s="151"/>
      <c r="G54" s="151"/>
      <c r="H54" s="151"/>
      <c r="I54" s="151"/>
      <c r="J54" s="151"/>
      <c r="K54" s="152"/>
      <c r="L54"/>
      <c r="M54"/>
      <c r="N54"/>
      <c r="O54"/>
      <c r="P54"/>
    </row>
    <row r="55" spans="2:16" ht="15" x14ac:dyDescent="0.25">
      <c r="L55"/>
      <c r="M55"/>
      <c r="N55"/>
      <c r="O55"/>
      <c r="P55"/>
    </row>
    <row r="56" spans="2:16" ht="15" x14ac:dyDescent="0.25">
      <c r="L56"/>
      <c r="M56"/>
      <c r="N56"/>
      <c r="O56"/>
      <c r="P56"/>
    </row>
    <row r="57" spans="2:16" ht="15" x14ac:dyDescent="0.25">
      <c r="L57"/>
      <c r="M57"/>
      <c r="N57"/>
      <c r="O57"/>
      <c r="P57"/>
    </row>
  </sheetData>
  <mergeCells count="17">
    <mergeCell ref="C35:J35"/>
    <mergeCell ref="B25:K25"/>
    <mergeCell ref="C30:D30"/>
    <mergeCell ref="C50:D50"/>
    <mergeCell ref="C17:C19"/>
    <mergeCell ref="B2:E2"/>
    <mergeCell ref="B5:K5"/>
    <mergeCell ref="D9:D10"/>
    <mergeCell ref="E9:E10"/>
    <mergeCell ref="C11:C13"/>
    <mergeCell ref="C14:C16"/>
    <mergeCell ref="B6:K6"/>
    <mergeCell ref="C44:E44"/>
    <mergeCell ref="C45:J45"/>
    <mergeCell ref="C21:J21"/>
    <mergeCell ref="B24:K24"/>
    <mergeCell ref="C34:E34"/>
  </mergeCells>
  <hyperlinks>
    <hyperlink ref="B2" location="Contents!A1" display="A summary of pass-through costs and recoverable costs for the disclosure year as set out in Schedule H" xr:uid="{6D6096D4-8DC3-4190-81CF-C11F32D3916F}"/>
    <hyperlink ref="B2:E2" location="'Table of Contents'!A1" display="'Table of Contents'!A1" xr:uid="{1108E741-BF49-4482-97A7-B3402FEB4045}"/>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rowBreaks count="1" manualBreakCount="1">
    <brk id="22" min="1" max="10"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3809A-3BD1-4890-877E-756546B4FEED}">
  <sheetPr>
    <tabColor theme="3" tint="0.249977111117893"/>
    <pageSetUpPr fitToPage="1"/>
  </sheetPr>
  <dimension ref="B2:M65"/>
  <sheetViews>
    <sheetView view="pageBreakPreview" zoomScale="84" zoomScaleNormal="100" zoomScaleSheetLayoutView="85" workbookViewId="0"/>
  </sheetViews>
  <sheetFormatPr defaultColWidth="9.140625" defaultRowHeight="15" x14ac:dyDescent="0.25"/>
  <cols>
    <col min="1" max="1" width="9.140625" style="1"/>
    <col min="2" max="2" width="5" style="1" customWidth="1"/>
    <col min="3" max="3" width="60.85546875" style="1" customWidth="1"/>
    <col min="4" max="4" width="55.85546875" style="1" customWidth="1"/>
    <col min="5" max="5" width="14.140625" style="1" customWidth="1"/>
    <col min="6" max="6" width="15.7109375" style="1" customWidth="1"/>
    <col min="7" max="7" width="14" style="1" customWidth="1"/>
    <col min="8" max="8" width="11.7109375" style="1" customWidth="1"/>
    <col min="9" max="11" width="9.140625" style="1"/>
    <col min="12" max="12" width="8.7109375" style="1" customWidth="1"/>
    <col min="13" max="16384" width="9.140625" style="1"/>
  </cols>
  <sheetData>
    <row r="2" spans="2:12" ht="37.5" customHeight="1" x14ac:dyDescent="0.3">
      <c r="B2" s="1246" t="s">
        <v>702</v>
      </c>
      <c r="C2" s="1246"/>
      <c r="D2" s="1246"/>
      <c r="E2" s="1246"/>
      <c r="F2" s="157"/>
      <c r="G2" s="157"/>
      <c r="H2" s="157"/>
      <c r="I2" s="157"/>
      <c r="J2" s="157"/>
      <c r="K2" s="157"/>
      <c r="L2" s="157"/>
    </row>
    <row r="3" spans="2:12" ht="24" customHeight="1" x14ac:dyDescent="0.25">
      <c r="B3" s="157"/>
      <c r="C3" s="157"/>
      <c r="D3" s="157"/>
      <c r="E3" s="158"/>
      <c r="F3" s="158"/>
      <c r="G3" s="159" t="s">
        <v>3</v>
      </c>
      <c r="H3" s="734">
        <f>+'4_RAB'!E3</f>
        <v>46203</v>
      </c>
      <c r="I3" s="158"/>
      <c r="J3" s="158"/>
      <c r="K3" s="158"/>
      <c r="L3" s="158"/>
    </row>
    <row r="4" spans="2:12" ht="18.75" x14ac:dyDescent="0.25">
      <c r="B4" s="1146" t="s">
        <v>703</v>
      </c>
      <c r="C4" s="1147"/>
      <c r="D4" s="1147"/>
      <c r="E4" s="1147"/>
      <c r="F4" s="1147"/>
      <c r="G4" s="1147"/>
      <c r="H4" s="1147"/>
      <c r="I4" s="1147"/>
      <c r="J4" s="1147"/>
      <c r="K4" s="1147"/>
      <c r="L4" s="1148"/>
    </row>
    <row r="5" spans="2:12" ht="95.25" customHeight="1" x14ac:dyDescent="0.25">
      <c r="B5" s="1164" t="s">
        <v>1115</v>
      </c>
      <c r="C5" s="1165"/>
      <c r="D5" s="1165"/>
      <c r="E5" s="1165"/>
      <c r="F5" s="1165"/>
      <c r="G5" s="1165"/>
      <c r="H5" s="1165"/>
      <c r="I5" s="1165"/>
      <c r="J5" s="1165"/>
      <c r="K5" s="1165"/>
      <c r="L5" s="1166"/>
    </row>
    <row r="6" spans="2:12" customFormat="1" ht="105" customHeight="1" x14ac:dyDescent="0.25">
      <c r="B6" s="1135" t="s">
        <v>1107</v>
      </c>
      <c r="C6" s="1136"/>
      <c r="D6" s="1136"/>
      <c r="E6" s="1136"/>
      <c r="F6" s="1136"/>
      <c r="G6" s="1136"/>
      <c r="H6" s="1136"/>
      <c r="I6" s="1136"/>
      <c r="J6" s="1136"/>
      <c r="K6" s="1136"/>
      <c r="L6" s="1137"/>
    </row>
    <row r="7" spans="2:12" ht="7.5" customHeight="1" x14ac:dyDescent="0.25">
      <c r="B7" s="374"/>
      <c r="C7" s="347"/>
      <c r="D7" s="347"/>
      <c r="E7" s="347"/>
      <c r="F7" s="347"/>
      <c r="G7" s="347"/>
      <c r="H7" s="347"/>
      <c r="I7" s="347"/>
      <c r="J7" s="347"/>
      <c r="K7" s="347"/>
      <c r="L7" s="348"/>
    </row>
    <row r="8" spans="2:12" x14ac:dyDescent="0.25">
      <c r="B8" s="376" t="s">
        <v>704</v>
      </c>
      <c r="C8" s="347"/>
      <c r="D8" s="347"/>
      <c r="E8" s="347"/>
      <c r="F8" s="347"/>
      <c r="G8" s="347"/>
      <c r="H8" s="347"/>
      <c r="I8" s="347"/>
      <c r="J8" s="347"/>
      <c r="K8" s="347"/>
      <c r="L8" s="16"/>
    </row>
    <row r="9" spans="2:12" ht="20.100000000000001" customHeight="1" x14ac:dyDescent="0.25">
      <c r="B9" s="450" t="s">
        <v>705</v>
      </c>
      <c r="C9" s="21"/>
      <c r="L9" s="16"/>
    </row>
    <row r="10" spans="2:12" ht="27.95" customHeight="1" x14ac:dyDescent="0.25">
      <c r="B10" s="20"/>
      <c r="C10" s="22" t="s">
        <v>505</v>
      </c>
      <c r="D10" s="23" t="s">
        <v>706</v>
      </c>
      <c r="E10" s="22" t="s">
        <v>707</v>
      </c>
      <c r="F10" s="64" t="s">
        <v>595</v>
      </c>
      <c r="G10" s="1248" t="s">
        <v>708</v>
      </c>
      <c r="H10" s="1249"/>
      <c r="I10" s="1249"/>
      <c r="J10" s="1249"/>
      <c r="K10" s="1250"/>
      <c r="L10" s="16"/>
    </row>
    <row r="11" spans="2:12" ht="20.100000000000001" customHeight="1" x14ac:dyDescent="0.25">
      <c r="B11" s="20"/>
      <c r="C11" s="2" t="s">
        <v>261</v>
      </c>
      <c r="D11" s="3" t="s">
        <v>263</v>
      </c>
      <c r="E11" s="2" t="s">
        <v>262</v>
      </c>
      <c r="F11" s="65"/>
      <c r="G11" s="43">
        <v>2026</v>
      </c>
      <c r="H11" s="66">
        <v>2027</v>
      </c>
      <c r="I11" s="66">
        <v>2028</v>
      </c>
      <c r="J11" s="66">
        <v>2029</v>
      </c>
      <c r="K11" s="67">
        <v>2030</v>
      </c>
      <c r="L11" s="16"/>
    </row>
    <row r="12" spans="2:12" ht="30" x14ac:dyDescent="0.25">
      <c r="B12" s="12"/>
      <c r="C12" s="4" t="s">
        <v>709</v>
      </c>
      <c r="D12" s="261" t="s">
        <v>710</v>
      </c>
      <c r="E12" s="4" t="s">
        <v>227</v>
      </c>
      <c r="F12" s="68"/>
      <c r="G12" s="69">
        <v>116.44304656949799</v>
      </c>
      <c r="H12" s="212">
        <f>+G17</f>
        <v>150.17173996402468</v>
      </c>
      <c r="I12" s="212">
        <f>+H17</f>
        <v>0</v>
      </c>
      <c r="J12" s="212"/>
      <c r="K12" s="213"/>
      <c r="L12" s="16"/>
    </row>
    <row r="13" spans="2:12" x14ac:dyDescent="0.25">
      <c r="B13" s="12"/>
      <c r="C13" s="255" t="s">
        <v>711</v>
      </c>
      <c r="D13" s="256" t="s">
        <v>712</v>
      </c>
      <c r="E13" s="255" t="s">
        <v>232</v>
      </c>
      <c r="F13" s="847">
        <f>'1_Inputs'!D13</f>
        <v>6.4399999999999999E-2</v>
      </c>
      <c r="G13" s="263"/>
      <c r="H13" s="264"/>
      <c r="I13" s="264"/>
      <c r="J13" s="264"/>
      <c r="K13" s="265"/>
      <c r="L13" s="16"/>
    </row>
    <row r="14" spans="2:12" ht="30" x14ac:dyDescent="0.25">
      <c r="B14" s="12"/>
      <c r="C14" s="4" t="s">
        <v>713</v>
      </c>
      <c r="D14" s="57" t="s">
        <v>714</v>
      </c>
      <c r="E14" s="4" t="s">
        <v>715</v>
      </c>
      <c r="F14" s="68" t="s">
        <v>716</v>
      </c>
      <c r="G14" s="70">
        <f>+G12*$F$13</f>
        <v>7.4989321990756705</v>
      </c>
      <c r="H14" s="212">
        <f>+H12*$F$13</f>
        <v>9.6710600536831901</v>
      </c>
      <c r="I14" s="212">
        <f>+I12*$F$13</f>
        <v>0</v>
      </c>
      <c r="J14" s="212">
        <f>+J12*$F$13</f>
        <v>0</v>
      </c>
      <c r="K14" s="213">
        <f>+K12*$F$13</f>
        <v>0</v>
      </c>
      <c r="L14" s="16"/>
    </row>
    <row r="15" spans="2:12" ht="30" x14ac:dyDescent="0.25">
      <c r="B15" s="12"/>
      <c r="C15" s="255" t="s">
        <v>717</v>
      </c>
      <c r="D15" s="343" t="s">
        <v>718</v>
      </c>
      <c r="E15" s="255" t="s">
        <v>344</v>
      </c>
      <c r="F15" s="266" t="s">
        <v>716</v>
      </c>
      <c r="G15" s="793">
        <f>G36</f>
        <v>59.412524971875293</v>
      </c>
      <c r="H15" s="267"/>
      <c r="I15" s="267"/>
      <c r="J15" s="267"/>
      <c r="K15" s="268"/>
      <c r="L15" s="16"/>
    </row>
    <row r="16" spans="2:12" ht="45" x14ac:dyDescent="0.25">
      <c r="B16" s="12"/>
      <c r="C16" s="59" t="s">
        <v>719</v>
      </c>
      <c r="D16" s="269" t="s">
        <v>720</v>
      </c>
      <c r="E16" s="4" t="s">
        <v>385</v>
      </c>
      <c r="F16" s="71"/>
      <c r="G16" s="849">
        <f>'3_RevenueBuildingBlocks'!I81</f>
        <v>33.182763776424274</v>
      </c>
      <c r="H16" s="848"/>
      <c r="I16" s="879">
        <v>33.182763776424302</v>
      </c>
      <c r="J16" s="879"/>
      <c r="K16" s="880">
        <v>33.182763776424302</v>
      </c>
      <c r="L16" s="16"/>
    </row>
    <row r="17" spans="2:12" ht="18" customHeight="1" x14ac:dyDescent="0.25">
      <c r="B17" s="12"/>
      <c r="C17" s="52" t="s">
        <v>721</v>
      </c>
      <c r="D17" s="61" t="s">
        <v>722</v>
      </c>
      <c r="E17" s="52" t="s">
        <v>723</v>
      </c>
      <c r="F17" s="72"/>
      <c r="G17" s="73">
        <f>SUM(G12:G15)-G16</f>
        <v>150.17173996402468</v>
      </c>
      <c r="H17" s="54"/>
      <c r="I17" s="54"/>
      <c r="J17" s="54"/>
      <c r="K17" s="74"/>
      <c r="L17" s="16"/>
    </row>
    <row r="18" spans="2:12" ht="18" customHeight="1" x14ac:dyDescent="0.25">
      <c r="B18" s="17"/>
      <c r="C18" s="492"/>
      <c r="D18" s="492"/>
      <c r="E18" s="492"/>
      <c r="F18" s="514"/>
      <c r="G18" s="499"/>
      <c r="H18" s="499"/>
      <c r="I18" s="499"/>
      <c r="J18" s="499"/>
      <c r="K18" s="499"/>
      <c r="L18" s="19"/>
    </row>
    <row r="19" spans="2:12" ht="18.75" x14ac:dyDescent="0.25">
      <c r="B19" s="260" t="s">
        <v>724</v>
      </c>
      <c r="C19" s="449"/>
      <c r="D19" s="449"/>
      <c r="E19" s="449"/>
      <c r="F19" s="449"/>
      <c r="G19" s="449"/>
      <c r="H19" s="449"/>
      <c r="I19" s="449"/>
      <c r="J19" s="449"/>
      <c r="K19" s="449"/>
      <c r="L19" s="449"/>
    </row>
    <row r="20" spans="2:12" ht="30.75" customHeight="1" x14ac:dyDescent="0.25">
      <c r="B20" s="1164" t="s">
        <v>1075</v>
      </c>
      <c r="C20" s="1165"/>
      <c r="D20" s="1165"/>
      <c r="E20" s="1165"/>
      <c r="F20" s="1165"/>
      <c r="G20" s="1165"/>
      <c r="H20" s="1165"/>
      <c r="I20" s="1165"/>
      <c r="J20" s="1165"/>
      <c r="K20" s="1165"/>
      <c r="L20" s="1166"/>
    </row>
    <row r="21" spans="2:12" ht="186" customHeight="1" x14ac:dyDescent="0.25">
      <c r="B21" s="1135" t="s">
        <v>725</v>
      </c>
      <c r="C21" s="1136"/>
      <c r="D21" s="1136"/>
      <c r="E21" s="1136"/>
      <c r="F21" s="1136"/>
      <c r="G21" s="1136"/>
      <c r="H21" s="1136"/>
      <c r="I21" s="1136"/>
      <c r="J21" s="1136"/>
      <c r="K21" s="1136"/>
      <c r="L21" s="1137"/>
    </row>
    <row r="22" spans="2:12" ht="6.75" customHeight="1" x14ac:dyDescent="0.25">
      <c r="B22" s="12"/>
      <c r="L22" s="16"/>
    </row>
    <row r="23" spans="2:12" x14ac:dyDescent="0.25">
      <c r="B23" s="376" t="s">
        <v>726</v>
      </c>
      <c r="C23" s="21"/>
      <c r="L23" s="16"/>
    </row>
    <row r="24" spans="2:12" ht="14.45" customHeight="1" x14ac:dyDescent="0.25">
      <c r="B24" s="20"/>
      <c r="C24" s="8" t="s">
        <v>426</v>
      </c>
      <c r="D24" s="8" t="s">
        <v>727</v>
      </c>
      <c r="E24" s="766"/>
      <c r="F24" s="784" t="s">
        <v>9</v>
      </c>
      <c r="G24" s="802" t="s">
        <v>588</v>
      </c>
      <c r="L24" s="16"/>
    </row>
    <row r="25" spans="2:12" ht="30" x14ac:dyDescent="0.25">
      <c r="B25" s="20"/>
      <c r="C25" s="388" t="s">
        <v>728</v>
      </c>
      <c r="D25" s="1164" t="s">
        <v>729</v>
      </c>
      <c r="E25" s="1166"/>
      <c r="F25" s="785" t="s">
        <v>730</v>
      </c>
      <c r="G25" s="769" t="s">
        <v>667</v>
      </c>
      <c r="L25" s="16"/>
    </row>
    <row r="26" spans="2:12" ht="30" x14ac:dyDescent="0.25">
      <c r="B26" s="51" t="s">
        <v>279</v>
      </c>
      <c r="C26" s="343" t="s">
        <v>731</v>
      </c>
      <c r="D26" s="343" t="s">
        <v>732</v>
      </c>
      <c r="E26" s="764"/>
      <c r="F26" s="786" t="s">
        <v>733</v>
      </c>
      <c r="G26" s="420">
        <v>0</v>
      </c>
      <c r="L26" s="16"/>
    </row>
    <row r="27" spans="2:12" ht="30" x14ac:dyDescent="0.25">
      <c r="B27" s="51" t="s">
        <v>279</v>
      </c>
      <c r="C27" s="59" t="s">
        <v>734</v>
      </c>
      <c r="D27" s="59" t="s">
        <v>732</v>
      </c>
      <c r="E27" s="765"/>
      <c r="F27" s="787" t="s">
        <v>735</v>
      </c>
      <c r="G27" s="421">
        <v>0</v>
      </c>
      <c r="L27" s="16"/>
    </row>
    <row r="28" spans="2:12" x14ac:dyDescent="0.25">
      <c r="B28" s="51" t="s">
        <v>279</v>
      </c>
      <c r="C28" s="255" t="s">
        <v>736</v>
      </c>
      <c r="D28" s="343"/>
      <c r="E28" s="764"/>
      <c r="F28" s="786" t="s">
        <v>737</v>
      </c>
      <c r="G28" s="794">
        <f>'3_RevenueBuildingBlocks'!I82</f>
        <v>36.660562971149822</v>
      </c>
      <c r="L28" s="16"/>
    </row>
    <row r="29" spans="2:12" x14ac:dyDescent="0.25">
      <c r="B29" s="51" t="s">
        <v>279</v>
      </c>
      <c r="C29" s="4" t="s">
        <v>738</v>
      </c>
      <c r="D29" s="59" t="s">
        <v>732</v>
      </c>
      <c r="E29" s="765"/>
      <c r="F29" s="787" t="s">
        <v>739</v>
      </c>
      <c r="G29" s="421">
        <v>0</v>
      </c>
      <c r="L29" s="16"/>
    </row>
    <row r="30" spans="2:12" ht="45" x14ac:dyDescent="0.25">
      <c r="B30" s="51" t="s">
        <v>279</v>
      </c>
      <c r="C30" s="343" t="s">
        <v>740</v>
      </c>
      <c r="D30" s="343"/>
      <c r="E30" s="764"/>
      <c r="F30" s="786" t="s">
        <v>741</v>
      </c>
      <c r="G30" s="770">
        <f>'13_RevenueLinkedQualityMeasures'!I29/1000000</f>
        <v>0.29334944047616024</v>
      </c>
      <c r="L30" s="16"/>
    </row>
    <row r="31" spans="2:12" ht="45" x14ac:dyDescent="0.25">
      <c r="B31" s="51" t="s">
        <v>279</v>
      </c>
      <c r="C31" s="59" t="s">
        <v>742</v>
      </c>
      <c r="D31" s="59"/>
      <c r="E31" s="765"/>
      <c r="F31" s="787" t="s">
        <v>743</v>
      </c>
      <c r="G31" s="771">
        <f>'7_Base&amp;MajorCapexAdj'!G12</f>
        <v>17.91743472662731</v>
      </c>
      <c r="L31" s="16"/>
    </row>
    <row r="32" spans="2:12" ht="45" x14ac:dyDescent="0.25">
      <c r="B32" s="51" t="s">
        <v>279</v>
      </c>
      <c r="C32" s="343" t="s">
        <v>744</v>
      </c>
      <c r="D32" s="343"/>
      <c r="E32" s="764"/>
      <c r="F32" s="786" t="s">
        <v>745</v>
      </c>
      <c r="G32" s="794">
        <f>-'7_Base&amp;MajorCapexAdj'!G54</f>
        <v>0</v>
      </c>
      <c r="L32" s="16"/>
    </row>
    <row r="33" spans="2:13" ht="30" x14ac:dyDescent="0.25">
      <c r="B33" s="51" t="s">
        <v>279</v>
      </c>
      <c r="C33" s="59" t="s">
        <v>746</v>
      </c>
      <c r="D33" s="59" t="s">
        <v>732</v>
      </c>
      <c r="E33" s="765"/>
      <c r="F33" s="787" t="s">
        <v>747</v>
      </c>
      <c r="G33" s="421">
        <v>0</v>
      </c>
      <c r="L33" s="16"/>
    </row>
    <row r="34" spans="2:13" x14ac:dyDescent="0.25">
      <c r="B34" s="51" t="s">
        <v>279</v>
      </c>
      <c r="C34" s="185" t="s">
        <v>748</v>
      </c>
      <c r="D34" s="343"/>
      <c r="E34" s="764"/>
      <c r="F34" s="786" t="s">
        <v>749</v>
      </c>
      <c r="G34" s="420">
        <v>0</v>
      </c>
      <c r="H34" s="41"/>
      <c r="L34" s="16"/>
    </row>
    <row r="35" spans="2:13" ht="30" x14ac:dyDescent="0.25">
      <c r="B35" s="51" t="s">
        <v>279</v>
      </c>
      <c r="C35" s="763" t="s">
        <v>750</v>
      </c>
      <c r="D35" s="59"/>
      <c r="E35" s="765"/>
      <c r="F35" s="787" t="s">
        <v>751</v>
      </c>
      <c r="G35" s="422">
        <v>4.541177833621993</v>
      </c>
      <c r="H35" s="1254"/>
      <c r="I35" s="1255"/>
      <c r="J35" s="1255"/>
      <c r="K35" s="1255"/>
      <c r="L35" s="16"/>
    </row>
    <row r="36" spans="2:13" x14ac:dyDescent="0.25">
      <c r="B36" s="12"/>
      <c r="C36" s="52" t="s">
        <v>717</v>
      </c>
      <c r="D36" s="767"/>
      <c r="E36" s="767"/>
      <c r="F36" s="768"/>
      <c r="G36" s="74">
        <f>SUM(G25:G35)</f>
        <v>59.412524971875293</v>
      </c>
      <c r="L36" s="16"/>
    </row>
    <row r="37" spans="2:13" ht="10.5" customHeight="1" x14ac:dyDescent="0.25">
      <c r="B37" s="12"/>
      <c r="C37" s="1247"/>
      <c r="D37" s="1247"/>
      <c r="E37" s="1247"/>
      <c r="F37" s="1247"/>
      <c r="G37" s="1247"/>
      <c r="H37" s="1247"/>
      <c r="L37" s="16"/>
    </row>
    <row r="38" spans="2:13" ht="38.25" customHeight="1" x14ac:dyDescent="0.25">
      <c r="B38" s="12"/>
      <c r="C38" s="1251"/>
      <c r="D38" s="1252"/>
      <c r="E38" s="1252"/>
      <c r="F38" s="1252"/>
      <c r="G38" s="1252"/>
      <c r="H38" s="1252"/>
      <c r="I38" s="1252"/>
      <c r="J38" s="1252"/>
      <c r="K38" s="1253"/>
      <c r="L38" s="16"/>
    </row>
    <row r="39" spans="2:13" x14ac:dyDescent="0.25">
      <c r="B39" s="17"/>
      <c r="C39" s="492"/>
      <c r="D39" s="492"/>
      <c r="E39" s="492"/>
      <c r="F39" s="499"/>
      <c r="G39" s="18"/>
      <c r="H39" s="18"/>
      <c r="I39" s="18"/>
      <c r="J39" s="18"/>
      <c r="K39" s="18"/>
      <c r="L39" s="19"/>
    </row>
    <row r="40" spans="2:13" ht="18.75" x14ac:dyDescent="0.25">
      <c r="B40" s="260" t="s">
        <v>752</v>
      </c>
      <c r="C40" s="449"/>
      <c r="D40" s="449"/>
      <c r="E40" s="449"/>
      <c r="F40" s="449"/>
      <c r="G40" s="449"/>
      <c r="H40" s="449"/>
      <c r="I40" s="449"/>
      <c r="J40" s="449"/>
      <c r="K40" s="449"/>
      <c r="L40" s="449"/>
    </row>
    <row r="41" spans="2:13" ht="36.950000000000003" customHeight="1" x14ac:dyDescent="0.25">
      <c r="B41" s="1149" t="s">
        <v>753</v>
      </c>
      <c r="C41" s="1150"/>
      <c r="D41" s="1150"/>
      <c r="E41" s="1150"/>
      <c r="F41" s="1150"/>
      <c r="G41" s="1150"/>
      <c r="H41" s="1150"/>
      <c r="I41" s="1150"/>
      <c r="J41" s="1150"/>
      <c r="K41" s="1150"/>
      <c r="L41" s="1151"/>
    </row>
    <row r="42" spans="2:13" x14ac:dyDescent="0.25">
      <c r="B42" s="355"/>
      <c r="C42" s="470"/>
      <c r="D42" s="470"/>
      <c r="E42" s="470"/>
      <c r="F42" s="470"/>
      <c r="G42" s="470"/>
      <c r="H42" s="470"/>
      <c r="I42" s="470"/>
      <c r="J42" s="470"/>
      <c r="K42" s="470"/>
      <c r="L42" s="16"/>
    </row>
    <row r="43" spans="2:13" ht="45.95" customHeight="1" x14ac:dyDescent="0.25">
      <c r="B43" s="12"/>
      <c r="C43" s="1243"/>
      <c r="D43" s="1244"/>
      <c r="E43" s="1244"/>
      <c r="F43" s="1244"/>
      <c r="G43" s="1244"/>
      <c r="H43" s="1244"/>
      <c r="I43" s="1244"/>
      <c r="J43" s="1244"/>
      <c r="K43" s="1245"/>
      <c r="L43" s="16"/>
    </row>
    <row r="44" spans="2:13" ht="34.5" customHeight="1" x14ac:dyDescent="0.25">
      <c r="B44" s="17"/>
      <c r="C44" s="98"/>
      <c r="D44" s="99"/>
      <c r="E44" s="18"/>
      <c r="F44" s="18"/>
      <c r="G44" s="18"/>
      <c r="H44" s="18"/>
      <c r="I44" s="18"/>
      <c r="J44" s="18"/>
      <c r="K44" s="18"/>
      <c r="L44" s="19"/>
    </row>
    <row r="45" spans="2:13" x14ac:dyDescent="0.25">
      <c r="B45" s="153" t="str">
        <f>'Directors Certificate'!B57</f>
        <v>Transpower's Annual Compliance Statement for the year ending 30 June 2026</v>
      </c>
      <c r="C45" s="151"/>
      <c r="D45" s="151"/>
      <c r="E45" s="151"/>
      <c r="F45" s="151"/>
      <c r="G45" s="309"/>
      <c r="H45" s="309"/>
      <c r="I45" s="309"/>
      <c r="J45" s="309"/>
      <c r="K45" s="309"/>
      <c r="L45" s="309"/>
      <c r="M45" s="309"/>
    </row>
    <row r="48" spans="2:13" ht="15" customHeight="1" x14ac:dyDescent="0.25"/>
    <row r="50" ht="45" customHeight="1" x14ac:dyDescent="0.25"/>
    <row r="51" ht="93" customHeight="1" x14ac:dyDescent="0.25"/>
    <row r="52" ht="45" customHeight="1" x14ac:dyDescent="0.25"/>
    <row r="53" ht="30" customHeight="1" x14ac:dyDescent="0.25"/>
    <row r="54" ht="15" customHeight="1" x14ac:dyDescent="0.25"/>
    <row r="55" ht="30" customHeight="1" x14ac:dyDescent="0.25"/>
    <row r="56" ht="45" customHeight="1" x14ac:dyDescent="0.25"/>
    <row r="57" ht="45" customHeight="1" x14ac:dyDescent="0.25"/>
    <row r="59" ht="30" customHeight="1" x14ac:dyDescent="0.25"/>
    <row r="60" ht="69.75" customHeight="1" x14ac:dyDescent="0.25"/>
    <row r="61" ht="45" customHeight="1" x14ac:dyDescent="0.25"/>
    <row r="62" ht="60" customHeight="1" x14ac:dyDescent="0.25"/>
    <row r="63" ht="45" customHeight="1" x14ac:dyDescent="0.25"/>
    <row r="65" ht="30" customHeight="1" x14ac:dyDescent="0.25"/>
  </sheetData>
  <mergeCells count="13">
    <mergeCell ref="C43:K43"/>
    <mergeCell ref="B2:E2"/>
    <mergeCell ref="C37:H37"/>
    <mergeCell ref="G10:K10"/>
    <mergeCell ref="B4:L4"/>
    <mergeCell ref="B41:L41"/>
    <mergeCell ref="B5:L5"/>
    <mergeCell ref="B6:L6"/>
    <mergeCell ref="B21:L21"/>
    <mergeCell ref="B20:L20"/>
    <mergeCell ref="C38:K38"/>
    <mergeCell ref="D25:E25"/>
    <mergeCell ref="H35:K35"/>
  </mergeCells>
  <phoneticPr fontId="84" type="noConversion"/>
  <hyperlinks>
    <hyperlink ref="B2" location="Contents!A1" display="A summary of pass-through costs and recoverable costs for the disclosure year as set out in Schedule H" xr:uid="{24115573-D1BB-41E5-ABBE-0D51743C9FCA}"/>
    <hyperlink ref="B2:E2" location="'Table of Contents'!A1" display="'Table of Contents'!A1" xr:uid="{18C9BF0B-7ABD-41FA-94C2-181ADBF17D93}"/>
  </hyperlinks>
  <pageMargins left="0.23622047244094491" right="0.23622047244094491" top="0.74803149606299213" bottom="0.74803149606299213" header="0.31496062992125984" footer="0.31496062992125984"/>
  <pageSetup paperSize="8" scale="95" fitToHeight="0" orientation="landscape" r:id="rId1"/>
  <headerFooter>
    <oddHeader>&amp;F</oddHeader>
    <oddFooter>&amp;A&amp;RPage &amp;P</oddFooter>
  </headerFooter>
  <rowBreaks count="2" manualBreakCount="2">
    <brk id="18" min="1" max="11" man="1"/>
    <brk id="38" min="1" max="1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3CFC1-4A06-44CB-9D7E-4EF9E8EA41B1}">
  <sheetPr>
    <tabColor theme="3" tint="0.249977111117893"/>
    <pageSetUpPr fitToPage="1"/>
  </sheetPr>
  <dimension ref="A2:H37"/>
  <sheetViews>
    <sheetView view="pageBreakPreview" zoomScale="85" zoomScaleNormal="100" zoomScaleSheetLayoutView="85" workbookViewId="0"/>
  </sheetViews>
  <sheetFormatPr defaultColWidth="9.140625" defaultRowHeight="15" x14ac:dyDescent="0.25"/>
  <cols>
    <col min="1" max="1" width="9.140625" style="1"/>
    <col min="2" max="2" width="13" style="1" customWidth="1"/>
    <col min="3" max="3" width="68.42578125" style="1" customWidth="1"/>
    <col min="4" max="4" width="55.85546875" style="1" customWidth="1"/>
    <col min="5" max="5" width="14.7109375" style="1" customWidth="1"/>
    <col min="6" max="6" width="11.28515625" style="1" customWidth="1"/>
    <col min="7" max="16384" width="9.140625" style="1"/>
  </cols>
  <sheetData>
    <row r="2" spans="2:8" ht="58.5" customHeight="1" x14ac:dyDescent="0.25">
      <c r="B2" s="1256" t="s">
        <v>754</v>
      </c>
      <c r="C2" s="1257"/>
      <c r="D2" s="1257"/>
      <c r="E2" s="1257"/>
      <c r="F2" s="1257"/>
      <c r="G2" s="1258"/>
    </row>
    <row r="3" spans="2:8" ht="26.25" customHeight="1" x14ac:dyDescent="0.25">
      <c r="B3" s="161"/>
      <c r="C3" s="162"/>
      <c r="D3" s="162"/>
      <c r="E3" s="777" t="s">
        <v>3</v>
      </c>
      <c r="F3" s="778">
        <f>+'4_RAB'!$E$3</f>
        <v>46203</v>
      </c>
      <c r="G3" s="162"/>
      <c r="H3" s="149"/>
    </row>
    <row r="4" spans="2:8" ht="26.25" customHeight="1" x14ac:dyDescent="0.3">
      <c r="B4" s="291" t="s">
        <v>755</v>
      </c>
      <c r="C4" s="205"/>
      <c r="D4" s="205"/>
      <c r="E4" s="205"/>
      <c r="F4" s="205"/>
      <c r="G4" s="206"/>
      <c r="H4" s="149"/>
    </row>
    <row r="5" spans="2:8" ht="91.5" customHeight="1" x14ac:dyDescent="0.25">
      <c r="B5" s="1164" t="s">
        <v>1076</v>
      </c>
      <c r="C5" s="1165"/>
      <c r="D5" s="1165"/>
      <c r="E5" s="1165"/>
      <c r="F5" s="1165"/>
      <c r="G5" s="1166"/>
    </row>
    <row r="6" spans="2:8" x14ac:dyDescent="0.25">
      <c r="B6" s="1135" t="s">
        <v>756</v>
      </c>
      <c r="C6" s="1136"/>
      <c r="D6" s="1136"/>
      <c r="E6" s="1136"/>
      <c r="F6" s="1136"/>
      <c r="G6" s="1137"/>
      <c r="H6" s="389"/>
    </row>
    <row r="7" spans="2:8" ht="8.25" customHeight="1" x14ac:dyDescent="0.25">
      <c r="B7" s="12"/>
      <c r="G7" s="16"/>
    </row>
    <row r="8" spans="2:8" ht="11.25" customHeight="1" x14ac:dyDescent="0.25">
      <c r="B8" s="376" t="s">
        <v>757</v>
      </c>
      <c r="G8" s="16"/>
    </row>
    <row r="9" spans="2:8" x14ac:dyDescent="0.25">
      <c r="B9" s="450" t="s">
        <v>758</v>
      </c>
      <c r="C9" s="21"/>
      <c r="G9" s="16"/>
    </row>
    <row r="10" spans="2:8" ht="30" customHeight="1" x14ac:dyDescent="0.25">
      <c r="B10" s="20"/>
      <c r="C10" s="22" t="s">
        <v>505</v>
      </c>
      <c r="D10" s="23" t="s">
        <v>706</v>
      </c>
      <c r="E10" s="535" t="s">
        <v>759</v>
      </c>
      <c r="F10" s="774" t="s">
        <v>588</v>
      </c>
      <c r="G10" s="16"/>
    </row>
    <row r="11" spans="2:8" x14ac:dyDescent="0.25">
      <c r="B11" s="20"/>
      <c r="C11" s="2" t="s">
        <v>261</v>
      </c>
      <c r="D11" s="3" t="s">
        <v>263</v>
      </c>
      <c r="E11" s="775" t="s">
        <v>262</v>
      </c>
      <c r="F11" s="141"/>
      <c r="G11" s="16"/>
    </row>
    <row r="12" spans="2:8" ht="28.5" customHeight="1" x14ac:dyDescent="0.25">
      <c r="B12" s="12"/>
      <c r="C12" s="4" t="s">
        <v>760</v>
      </c>
      <c r="D12" s="57" t="s">
        <v>761</v>
      </c>
      <c r="E12" s="75" t="s">
        <v>227</v>
      </c>
      <c r="F12" s="142">
        <v>8.6552401799999998</v>
      </c>
      <c r="G12" s="16"/>
    </row>
    <row r="13" spans="2:8" ht="30" x14ac:dyDescent="0.25">
      <c r="B13" s="12"/>
      <c r="C13" s="255" t="s">
        <v>762</v>
      </c>
      <c r="D13" s="256" t="s">
        <v>763</v>
      </c>
      <c r="E13" s="292" t="s">
        <v>232</v>
      </c>
      <c r="F13" s="293">
        <v>1.0606170800000001</v>
      </c>
      <c r="G13" s="16"/>
    </row>
    <row r="14" spans="2:8" ht="28.5" customHeight="1" x14ac:dyDescent="0.25">
      <c r="B14" s="12"/>
      <c r="C14" s="4" t="s">
        <v>764</v>
      </c>
      <c r="D14" s="57" t="s">
        <v>765</v>
      </c>
      <c r="E14" s="75" t="s">
        <v>471</v>
      </c>
      <c r="F14" s="142">
        <v>9.3594881899999987</v>
      </c>
      <c r="G14" s="16"/>
    </row>
    <row r="15" spans="2:8" ht="30" x14ac:dyDescent="0.25">
      <c r="B15" s="12"/>
      <c r="C15" s="255" t="s">
        <v>766</v>
      </c>
      <c r="D15" s="256" t="s">
        <v>767</v>
      </c>
      <c r="E15" s="292" t="s">
        <v>344</v>
      </c>
      <c r="F15" s="293">
        <v>0.13844379999999998</v>
      </c>
      <c r="G15" s="16"/>
    </row>
    <row r="16" spans="2:8" ht="28.5" customHeight="1" x14ac:dyDescent="0.25">
      <c r="B16" s="12"/>
      <c r="C16" s="4" t="s">
        <v>768</v>
      </c>
      <c r="D16" s="57" t="s">
        <v>769</v>
      </c>
      <c r="E16" s="75" t="s">
        <v>385</v>
      </c>
      <c r="F16" s="142">
        <v>0</v>
      </c>
      <c r="G16" s="16"/>
    </row>
    <row r="17" spans="1:8" ht="23.25" customHeight="1" x14ac:dyDescent="0.25">
      <c r="B17" s="12"/>
      <c r="C17" s="27" t="s">
        <v>770</v>
      </c>
      <c r="D17" s="28" t="s">
        <v>771</v>
      </c>
      <c r="E17" s="77" t="s">
        <v>351</v>
      </c>
      <c r="F17" s="143">
        <f>SUM(F11:F16)</f>
        <v>19.213789250000001</v>
      </c>
      <c r="G17" s="16"/>
    </row>
    <row r="18" spans="1:8" ht="42.75" customHeight="1" x14ac:dyDescent="0.25">
      <c r="B18" s="12"/>
      <c r="C18" s="4" t="s">
        <v>772</v>
      </c>
      <c r="D18" s="57" t="s">
        <v>1077</v>
      </c>
      <c r="E18" s="75" t="s">
        <v>354</v>
      </c>
      <c r="F18" s="142">
        <v>3.1710635100660625</v>
      </c>
      <c r="G18" s="16"/>
    </row>
    <row r="19" spans="1:8" ht="35.25" customHeight="1" x14ac:dyDescent="0.25">
      <c r="B19" s="12"/>
      <c r="C19" s="255" t="s">
        <v>773</v>
      </c>
      <c r="D19" s="256" t="s">
        <v>774</v>
      </c>
      <c r="E19" s="292" t="s">
        <v>357</v>
      </c>
      <c r="F19" s="293">
        <v>1.1641250300000001</v>
      </c>
      <c r="G19" s="16"/>
    </row>
    <row r="20" spans="1:8" ht="28.5" customHeight="1" x14ac:dyDescent="0.25">
      <c r="B20" s="12"/>
      <c r="C20" s="4" t="s">
        <v>775</v>
      </c>
      <c r="D20" s="57" t="s">
        <v>776</v>
      </c>
      <c r="E20" s="75" t="s">
        <v>359</v>
      </c>
      <c r="F20" s="142">
        <v>0</v>
      </c>
      <c r="G20" s="16"/>
    </row>
    <row r="21" spans="1:8" ht="30" x14ac:dyDescent="0.25">
      <c r="B21" s="12"/>
      <c r="C21" s="255" t="s">
        <v>777</v>
      </c>
      <c r="D21" s="256" t="s">
        <v>778</v>
      </c>
      <c r="E21" s="292" t="s">
        <v>361</v>
      </c>
      <c r="F21" s="293">
        <v>0</v>
      </c>
      <c r="G21" s="16"/>
      <c r="H21" s="41"/>
    </row>
    <row r="22" spans="1:8" ht="28.5" customHeight="1" x14ac:dyDescent="0.25">
      <c r="B22" s="12"/>
      <c r="C22" s="4" t="s">
        <v>779</v>
      </c>
      <c r="D22" s="57" t="s">
        <v>780</v>
      </c>
      <c r="E22" s="75" t="s">
        <v>781</v>
      </c>
      <c r="F22" s="142">
        <v>0</v>
      </c>
      <c r="G22" s="16"/>
      <c r="H22" s="41"/>
    </row>
    <row r="23" spans="1:8" ht="30" x14ac:dyDescent="0.25">
      <c r="A23" s="1" t="s">
        <v>782</v>
      </c>
      <c r="B23" s="12"/>
      <c r="C23" s="256" t="s">
        <v>783</v>
      </c>
      <c r="D23" s="256" t="s">
        <v>784</v>
      </c>
      <c r="E23" s="292" t="s">
        <v>399</v>
      </c>
      <c r="F23" s="293">
        <v>0.30564569999999996</v>
      </c>
      <c r="G23" s="16"/>
    </row>
    <row r="24" spans="1:8" ht="23.25" customHeight="1" x14ac:dyDescent="0.25">
      <c r="B24" s="12"/>
      <c r="C24" s="27" t="s">
        <v>785</v>
      </c>
      <c r="D24" s="28" t="s">
        <v>786</v>
      </c>
      <c r="E24" s="77" t="s">
        <v>402</v>
      </c>
      <c r="F24" s="143">
        <f>SUM(F18:F23)</f>
        <v>4.6408342400660629</v>
      </c>
      <c r="G24" s="16"/>
    </row>
    <row r="25" spans="1:8" ht="23.25" customHeight="1" x14ac:dyDescent="0.25">
      <c r="B25" s="12"/>
      <c r="C25" s="52" t="s">
        <v>787</v>
      </c>
      <c r="D25" s="61" t="s">
        <v>788</v>
      </c>
      <c r="E25" s="79" t="s">
        <v>404</v>
      </c>
      <c r="F25" s="144">
        <f>F17+F24</f>
        <v>23.854623490066064</v>
      </c>
      <c r="G25" s="16"/>
    </row>
    <row r="26" spans="1:8" x14ac:dyDescent="0.25">
      <c r="B26" s="17"/>
      <c r="C26" s="133"/>
      <c r="D26" s="133"/>
      <c r="E26" s="133"/>
      <c r="F26" s="133"/>
      <c r="G26" s="19"/>
    </row>
    <row r="27" spans="1:8" ht="18.75" x14ac:dyDescent="0.3">
      <c r="B27" s="291" t="s">
        <v>1078</v>
      </c>
      <c r="C27" s="205"/>
      <c r="D27" s="205"/>
      <c r="E27" s="205"/>
      <c r="F27" s="205"/>
      <c r="G27" s="206"/>
    </row>
    <row r="28" spans="1:8" ht="27.95" customHeight="1" x14ac:dyDescent="0.25">
      <c r="B28" s="1149" t="s">
        <v>789</v>
      </c>
      <c r="C28" s="1150"/>
      <c r="D28" s="1150"/>
      <c r="E28" s="1150"/>
      <c r="F28" s="1150"/>
      <c r="G28" s="1151"/>
    </row>
    <row r="29" spans="1:8" x14ac:dyDescent="0.25">
      <c r="B29" s="374"/>
      <c r="C29" s="347"/>
      <c r="D29" s="347"/>
      <c r="E29" s="347"/>
      <c r="F29" s="347"/>
      <c r="G29" s="348"/>
    </row>
    <row r="30" spans="1:8" ht="36.75" customHeight="1" x14ac:dyDescent="0.25">
      <c r="B30" s="12"/>
      <c r="C30" s="1259" t="s">
        <v>667</v>
      </c>
      <c r="D30" s="1260"/>
      <c r="E30" s="1260"/>
      <c r="F30" s="1261"/>
      <c r="G30" s="16"/>
    </row>
    <row r="31" spans="1:8" x14ac:dyDescent="0.25">
      <c r="B31" s="17"/>
      <c r="C31" s="18"/>
      <c r="D31" s="18"/>
      <c r="E31" s="18"/>
      <c r="F31" s="18"/>
      <c r="G31" s="19"/>
    </row>
    <row r="32" spans="1:8" ht="18.75" x14ac:dyDescent="0.3">
      <c r="B32" s="453" t="s">
        <v>1079</v>
      </c>
      <c r="C32" s="205"/>
      <c r="D32" s="205"/>
      <c r="E32" s="205"/>
      <c r="F32" s="205"/>
      <c r="G32" s="206"/>
    </row>
    <row r="33" spans="2:7" ht="30.6" customHeight="1" x14ac:dyDescent="0.25">
      <c r="B33" s="1149" t="s">
        <v>790</v>
      </c>
      <c r="C33" s="1150"/>
      <c r="D33" s="1150"/>
      <c r="E33" s="1150"/>
      <c r="F33" s="1150"/>
      <c r="G33" s="1151"/>
    </row>
    <row r="34" spans="2:7" x14ac:dyDescent="0.25">
      <c r="B34" s="374"/>
      <c r="C34" s="347"/>
      <c r="D34" s="347"/>
      <c r="E34" s="347"/>
      <c r="F34" s="347"/>
      <c r="G34" s="348"/>
    </row>
    <row r="35" spans="2:7" ht="36.75" customHeight="1" x14ac:dyDescent="0.25">
      <c r="B35" s="25"/>
      <c r="C35" s="1259" t="s">
        <v>667</v>
      </c>
      <c r="D35" s="1260"/>
      <c r="E35" s="1260"/>
      <c r="F35" s="1261"/>
      <c r="G35" s="16"/>
    </row>
    <row r="36" spans="2:7" ht="18.75" customHeight="1" x14ac:dyDescent="0.25">
      <c r="B36" s="17"/>
      <c r="C36" s="451"/>
      <c r="D36" s="451"/>
      <c r="E36" s="451"/>
      <c r="F36" s="451"/>
      <c r="G36" s="19"/>
    </row>
    <row r="37" spans="2:7" x14ac:dyDescent="0.25">
      <c r="B37" s="153" t="str">
        <f>'Directors Certificate'!B57</f>
        <v>Transpower's Annual Compliance Statement for the year ending 30 June 2026</v>
      </c>
      <c r="C37" s="151"/>
      <c r="D37" s="151"/>
      <c r="E37" s="151"/>
      <c r="F37" s="151"/>
      <c r="G37" s="152"/>
    </row>
  </sheetData>
  <mergeCells count="7">
    <mergeCell ref="B2:G2"/>
    <mergeCell ref="C30:F30"/>
    <mergeCell ref="C35:F35"/>
    <mergeCell ref="B5:G5"/>
    <mergeCell ref="B28:G28"/>
    <mergeCell ref="B33:G33"/>
    <mergeCell ref="B6:G6"/>
  </mergeCells>
  <hyperlinks>
    <hyperlink ref="B2" location="Contents!A1" display="A summary of pass-through costs and recoverable costs for the disclosure year as set out in Schedule H" xr:uid="{9E3DE62A-BCDD-441E-BA93-8303A8DFE53D}"/>
    <hyperlink ref="B2:G2" location="'Table of Contents'!A1" display="'Table of Contents'!A1" xr:uid="{259C7218-A913-4713-9D58-BE6EEC5794F1}"/>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rowBreaks count="1" manualBreakCount="1">
    <brk id="26" min="1" max="6"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D7F94-3E63-4439-8989-6A3261506127}">
  <sheetPr>
    <tabColor theme="3" tint="0.249977111117893"/>
    <pageSetUpPr fitToPage="1"/>
  </sheetPr>
  <dimension ref="B2:G40"/>
  <sheetViews>
    <sheetView view="pageBreakPreview" zoomScale="82" zoomScaleNormal="100" zoomScaleSheetLayoutView="100" workbookViewId="0"/>
  </sheetViews>
  <sheetFormatPr defaultColWidth="9.140625" defaultRowHeight="15" x14ac:dyDescent="0.25"/>
  <cols>
    <col min="1" max="1" width="9.140625" style="1" customWidth="1"/>
    <col min="2" max="2" width="4.140625" style="1" customWidth="1"/>
    <col min="3" max="3" width="63.42578125" style="1" customWidth="1"/>
    <col min="4" max="4" width="10.28515625" style="1" customWidth="1"/>
    <col min="5" max="5" width="16.42578125" style="1" customWidth="1"/>
    <col min="6" max="6" width="8.42578125" style="1" customWidth="1"/>
    <col min="7" max="16384" width="9.140625" style="1"/>
  </cols>
  <sheetData>
    <row r="2" spans="2:7" ht="34.5" customHeight="1" x14ac:dyDescent="0.25">
      <c r="B2" s="1265" t="s">
        <v>791</v>
      </c>
      <c r="C2" s="1266"/>
      <c r="D2" s="1266"/>
      <c r="E2" s="1266"/>
      <c r="F2" s="1266"/>
    </row>
    <row r="3" spans="2:7" ht="18.75" x14ac:dyDescent="0.25">
      <c r="B3" s="161"/>
      <c r="C3" s="162"/>
      <c r="D3" s="463" t="s">
        <v>3</v>
      </c>
      <c r="E3" s="746">
        <f>+'4_RAB'!$E$3</f>
        <v>46203</v>
      </c>
      <c r="F3" s="162"/>
    </row>
    <row r="4" spans="2:7" ht="18.75" x14ac:dyDescent="0.3">
      <c r="B4" s="423" t="s">
        <v>792</v>
      </c>
      <c r="C4" s="259"/>
      <c r="D4" s="259"/>
      <c r="E4" s="259"/>
      <c r="F4" s="424"/>
    </row>
    <row r="5" spans="2:7" ht="90" customHeight="1" x14ac:dyDescent="0.25">
      <c r="B5" s="1267" t="s">
        <v>793</v>
      </c>
      <c r="C5" s="1268"/>
      <c r="D5" s="1268"/>
      <c r="E5" s="1268"/>
      <c r="F5" s="1269"/>
    </row>
    <row r="6" spans="2:7" ht="142.5" customHeight="1" x14ac:dyDescent="0.25">
      <c r="B6" s="1135" t="s">
        <v>794</v>
      </c>
      <c r="C6" s="1136"/>
      <c r="D6" s="1136"/>
      <c r="E6" s="1136"/>
      <c r="F6" s="1137"/>
    </row>
    <row r="7" spans="2:7" x14ac:dyDescent="0.25">
      <c r="B7" s="374"/>
      <c r="C7" s="347"/>
      <c r="D7" s="347"/>
      <c r="E7" s="347"/>
      <c r="F7" s="348"/>
      <c r="G7" s="425"/>
    </row>
    <row r="8" spans="2:7" x14ac:dyDescent="0.25">
      <c r="B8" s="376" t="s">
        <v>795</v>
      </c>
      <c r="C8" s="21"/>
      <c r="D8" s="21"/>
      <c r="F8" s="16"/>
    </row>
    <row r="9" spans="2:7" x14ac:dyDescent="0.25">
      <c r="B9" s="12"/>
      <c r="C9" s="43"/>
      <c r="D9" s="50" t="s">
        <v>796</v>
      </c>
      <c r="E9" s="44" t="s">
        <v>247</v>
      </c>
      <c r="F9" s="16"/>
    </row>
    <row r="10" spans="2:7" x14ac:dyDescent="0.25">
      <c r="B10" s="12"/>
      <c r="C10" s="27" t="s">
        <v>286</v>
      </c>
      <c r="D10" s="92"/>
      <c r="E10" s="85">
        <f>'2_Revenue'!D33</f>
        <v>981.79488795203076</v>
      </c>
      <c r="F10" s="16"/>
    </row>
    <row r="11" spans="2:7" x14ac:dyDescent="0.25">
      <c r="B11" s="51" t="s">
        <v>439</v>
      </c>
      <c r="C11" s="185" t="s">
        <v>1053</v>
      </c>
      <c r="D11" s="188"/>
      <c r="E11" s="548">
        <f>-'9_Opex'!F17</f>
        <v>-426.24009083042711</v>
      </c>
      <c r="F11" s="16"/>
    </row>
    <row r="12" spans="2:7" x14ac:dyDescent="0.25">
      <c r="B12" s="51" t="s">
        <v>439</v>
      </c>
      <c r="C12" s="12" t="s">
        <v>360</v>
      </c>
      <c r="D12" s="87"/>
      <c r="E12" s="550">
        <f>-'11_Pass-Through&amp;Recoverables'!F17</f>
        <v>-19.213789250000001</v>
      </c>
      <c r="F12" s="16"/>
    </row>
    <row r="13" spans="2:7" x14ac:dyDescent="0.25">
      <c r="B13" s="51" t="s">
        <v>439</v>
      </c>
      <c r="C13" s="185" t="s">
        <v>797</v>
      </c>
      <c r="D13" s="188"/>
      <c r="E13" s="548">
        <f>-'11_Pass-Through&amp;Recoverables'!F24</f>
        <v>-4.6408342400660629</v>
      </c>
      <c r="F13" s="16"/>
    </row>
    <row r="14" spans="2:7" x14ac:dyDescent="0.25">
      <c r="B14" s="51" t="s">
        <v>439</v>
      </c>
      <c r="C14" s="12" t="s">
        <v>348</v>
      </c>
      <c r="D14" s="87"/>
      <c r="E14" s="550">
        <f>-E27</f>
        <v>-377.52555040162332</v>
      </c>
      <c r="F14" s="16"/>
    </row>
    <row r="15" spans="2:7" x14ac:dyDescent="0.25">
      <c r="B15" s="51" t="s">
        <v>439</v>
      </c>
      <c r="C15" s="185" t="s">
        <v>798</v>
      </c>
      <c r="D15" s="188"/>
      <c r="E15" s="548">
        <f>-E36</f>
        <v>-118.68785591733395</v>
      </c>
      <c r="F15" s="16"/>
    </row>
    <row r="16" spans="2:7" x14ac:dyDescent="0.25">
      <c r="B16" s="51" t="s">
        <v>227</v>
      </c>
      <c r="C16" s="27" t="s">
        <v>799</v>
      </c>
      <c r="D16" s="92"/>
      <c r="E16" s="1071">
        <f>SUM(E10:E15)</f>
        <v>35.486767312580341</v>
      </c>
      <c r="F16" s="16"/>
    </row>
    <row r="17" spans="2:6" x14ac:dyDescent="0.25">
      <c r="B17" s="51" t="s">
        <v>232</v>
      </c>
      <c r="C17" s="12" t="s">
        <v>209</v>
      </c>
      <c r="D17" s="95">
        <f>'1_Inputs'!D10</f>
        <v>0.28000000000000003</v>
      </c>
      <c r="E17" s="1072"/>
      <c r="F17" s="16"/>
    </row>
    <row r="18" spans="2:6" x14ac:dyDescent="0.25">
      <c r="B18" s="51" t="s">
        <v>800</v>
      </c>
      <c r="C18" s="52" t="s">
        <v>801</v>
      </c>
      <c r="D18" s="53"/>
      <c r="E18" s="55">
        <f>E16*D17</f>
        <v>9.9362948475224968</v>
      </c>
      <c r="F18" s="16"/>
    </row>
    <row r="19" spans="2:6" x14ac:dyDescent="0.25">
      <c r="B19" s="12"/>
      <c r="F19" s="16"/>
    </row>
    <row r="20" spans="2:6" x14ac:dyDescent="0.25">
      <c r="B20" s="376" t="s">
        <v>802</v>
      </c>
      <c r="C20" s="21"/>
      <c r="D20" s="21"/>
      <c r="F20" s="16"/>
    </row>
    <row r="21" spans="2:6" x14ac:dyDescent="0.25">
      <c r="B21" s="12"/>
      <c r="C21" s="43"/>
      <c r="D21" s="50" t="s">
        <v>626</v>
      </c>
      <c r="E21" s="44" t="s">
        <v>247</v>
      </c>
      <c r="F21" s="16"/>
    </row>
    <row r="22" spans="2:6" x14ac:dyDescent="0.25">
      <c r="B22" s="12"/>
      <c r="C22" s="27" t="s">
        <v>803</v>
      </c>
      <c r="D22" s="92"/>
      <c r="E22" s="85">
        <v>288.12659345162479</v>
      </c>
      <c r="F22" s="16"/>
    </row>
    <row r="23" spans="2:6" x14ac:dyDescent="0.25">
      <c r="B23" s="51" t="s">
        <v>279</v>
      </c>
      <c r="C23" s="185" t="s">
        <v>804</v>
      </c>
      <c r="D23" s="188"/>
      <c r="E23" s="548">
        <v>64.261863719999994</v>
      </c>
      <c r="F23" s="16"/>
    </row>
    <row r="24" spans="2:6" x14ac:dyDescent="0.25">
      <c r="B24" s="51" t="s">
        <v>279</v>
      </c>
      <c r="C24" s="12" t="s">
        <v>456</v>
      </c>
      <c r="D24" s="87"/>
      <c r="E24" s="550">
        <v>7.8204211600000004</v>
      </c>
      <c r="F24" s="16"/>
    </row>
    <row r="25" spans="2:6" x14ac:dyDescent="0.25">
      <c r="B25" s="51" t="s">
        <v>279</v>
      </c>
      <c r="C25" s="185" t="s">
        <v>805</v>
      </c>
      <c r="D25" s="188"/>
      <c r="E25" s="548">
        <v>4.5878860699985164</v>
      </c>
      <c r="F25" s="16"/>
    </row>
    <row r="26" spans="2:6" x14ac:dyDescent="0.25">
      <c r="B26" s="51" t="s">
        <v>279</v>
      </c>
      <c r="C26" s="12" t="s">
        <v>806</v>
      </c>
      <c r="D26" s="87"/>
      <c r="E26" s="550">
        <f>'9_Opex'!F41</f>
        <v>12.728785999999999</v>
      </c>
      <c r="F26" s="16"/>
    </row>
    <row r="27" spans="2:6" x14ac:dyDescent="0.25">
      <c r="B27" s="51"/>
      <c r="C27" s="27" t="s">
        <v>348</v>
      </c>
      <c r="D27" s="94"/>
      <c r="E27" s="85">
        <f>SUM(E22:E26)</f>
        <v>377.52555040162332</v>
      </c>
      <c r="F27" s="16"/>
    </row>
    <row r="28" spans="2:6" x14ac:dyDescent="0.25">
      <c r="B28" s="12"/>
      <c r="F28" s="16"/>
    </row>
    <row r="29" spans="2:6" x14ac:dyDescent="0.25">
      <c r="B29" s="376" t="s">
        <v>807</v>
      </c>
      <c r="C29" s="346"/>
      <c r="D29" s="21"/>
      <c r="F29" s="16"/>
    </row>
    <row r="30" spans="2:6" x14ac:dyDescent="0.25">
      <c r="B30" s="12"/>
      <c r="C30" s="43"/>
      <c r="D30" s="50" t="s">
        <v>626</v>
      </c>
      <c r="E30" s="44" t="s">
        <v>247</v>
      </c>
      <c r="F30" s="16"/>
    </row>
    <row r="31" spans="2:6" x14ac:dyDescent="0.25">
      <c r="B31" s="51" t="s">
        <v>227</v>
      </c>
      <c r="C31" s="27" t="s">
        <v>305</v>
      </c>
      <c r="D31" s="94"/>
      <c r="E31" s="85">
        <f>'4_RAB'!E10</f>
        <v>5224.3984489002996</v>
      </c>
      <c r="F31" s="16"/>
    </row>
    <row r="32" spans="2:6" x14ac:dyDescent="0.25">
      <c r="B32" s="51" t="s">
        <v>232</v>
      </c>
      <c r="C32" s="185" t="s">
        <v>808</v>
      </c>
      <c r="D32" s="294">
        <v>0.41</v>
      </c>
      <c r="E32" s="1073"/>
      <c r="F32" s="16"/>
    </row>
    <row r="33" spans="2:7" x14ac:dyDescent="0.25">
      <c r="B33" s="51" t="s">
        <v>471</v>
      </c>
      <c r="C33" s="12" t="s">
        <v>809</v>
      </c>
      <c r="D33" s="96">
        <v>5.4399999999999997E-2</v>
      </c>
      <c r="E33" s="1072"/>
      <c r="F33" s="16"/>
    </row>
    <row r="34" spans="2:7" x14ac:dyDescent="0.25">
      <c r="B34" s="51"/>
      <c r="C34" s="27" t="s">
        <v>810</v>
      </c>
      <c r="D34" s="92"/>
      <c r="E34" s="85">
        <f>E31*D32*D33</f>
        <v>116.52498300427227</v>
      </c>
      <c r="F34" s="16"/>
    </row>
    <row r="35" spans="2:7" x14ac:dyDescent="0.25">
      <c r="B35" s="51" t="s">
        <v>279</v>
      </c>
      <c r="C35" s="12" t="s">
        <v>811</v>
      </c>
      <c r="D35" s="87"/>
      <c r="E35" s="426">
        <v>2.1628729130616811</v>
      </c>
      <c r="F35" s="16"/>
    </row>
    <row r="36" spans="2:7" ht="19.5" customHeight="1" x14ac:dyDescent="0.25">
      <c r="B36" s="51"/>
      <c r="C36" s="27" t="s">
        <v>812</v>
      </c>
      <c r="D36" s="94"/>
      <c r="E36" s="85">
        <f>E34+E35</f>
        <v>118.68785591733395</v>
      </c>
      <c r="F36" s="16"/>
      <c r="G36" s="1074"/>
    </row>
    <row r="37" spans="2:7" x14ac:dyDescent="0.25">
      <c r="B37" s="51"/>
      <c r="C37" s="33"/>
      <c r="D37" s="321"/>
      <c r="E37" s="93"/>
      <c r="F37" s="16"/>
    </row>
    <row r="38" spans="2:7" ht="144.75" customHeight="1" x14ac:dyDescent="0.25">
      <c r="B38" s="51"/>
      <c r="C38" s="1262" t="s">
        <v>1080</v>
      </c>
      <c r="D38" s="1263"/>
      <c r="E38" s="1264"/>
      <c r="F38" s="1075"/>
    </row>
    <row r="39" spans="2:7" ht="25.5" customHeight="1" x14ac:dyDescent="0.25">
      <c r="B39" s="17"/>
      <c r="C39" s="18"/>
      <c r="D39" s="18"/>
      <c r="E39" s="18"/>
      <c r="F39" s="19"/>
      <c r="G39"/>
    </row>
    <row r="40" spans="2:7" x14ac:dyDescent="0.25">
      <c r="B40" s="153" t="str">
        <f>'Directors Certificate'!B57</f>
        <v>Transpower's Annual Compliance Statement for the year ending 30 June 2026</v>
      </c>
      <c r="C40" s="151"/>
      <c r="D40" s="151"/>
      <c r="E40" s="151"/>
      <c r="F40" s="151"/>
      <c r="G40"/>
    </row>
  </sheetData>
  <mergeCells count="4">
    <mergeCell ref="C38:E38"/>
    <mergeCell ref="B2:F2"/>
    <mergeCell ref="B5:F5"/>
    <mergeCell ref="B6:F6"/>
  </mergeCells>
  <hyperlinks>
    <hyperlink ref="B2" location="Contents!A1" display="A summary of pass-through costs and recoverable costs for the disclosure year as set out in Schedule H" xr:uid="{BBC37285-31E4-44DB-B996-BB21AC69B274}"/>
    <hyperlink ref="B2:F2" location="'Table of Contents'!A1" display="'Table of Contents'!A1" xr:uid="{09694EAB-B0A5-4D4D-82FF-3AA9F3853D37}"/>
  </hyperlinks>
  <pageMargins left="0.82677165354330717" right="0.23622047244094491" top="0.74803149606299213" bottom="0.74803149606299213" header="0.31496062992125984" footer="0.31496062992125984"/>
  <pageSetup paperSize="8" fitToHeight="0" orientation="portrait" r:id="rId1"/>
  <headerFooter>
    <oddHeader>&amp;F</oddHeader>
    <oddFooter>&amp;A&amp;RPage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66DFB-4DDD-4F36-98CE-69BD53E82D41}">
  <sheetPr>
    <tabColor theme="0"/>
    <pageSetUpPr fitToPage="1"/>
  </sheetPr>
  <dimension ref="B4"/>
  <sheetViews>
    <sheetView workbookViewId="0">
      <selection activeCell="G51" sqref="G51"/>
    </sheetView>
  </sheetViews>
  <sheetFormatPr defaultColWidth="9.140625" defaultRowHeight="15" x14ac:dyDescent="0.25"/>
  <cols>
    <col min="1" max="16384" width="9.140625" style="1"/>
  </cols>
  <sheetData>
    <row r="4" spans="2:2" ht="53.25" x14ac:dyDescent="0.85">
      <c r="B4" s="345" t="s">
        <v>813</v>
      </c>
    </row>
  </sheetData>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3013B-4AA5-49AB-A523-E086947DCFF0}">
  <sheetPr>
    <tabColor theme="7" tint="0.39997558519241921"/>
    <pageSetUpPr fitToPage="1"/>
  </sheetPr>
  <dimension ref="B1:J33"/>
  <sheetViews>
    <sheetView view="pageBreakPreview" zoomScale="82" zoomScaleNormal="100" zoomScaleSheetLayoutView="100" workbookViewId="0">
      <selection activeCell="B6" sqref="B6:J6"/>
    </sheetView>
  </sheetViews>
  <sheetFormatPr defaultColWidth="9.140625" defaultRowHeight="13.5" x14ac:dyDescent="0.25"/>
  <cols>
    <col min="1" max="1" width="3.42578125" style="427" customWidth="1"/>
    <col min="2" max="2" width="6.5703125" style="427" customWidth="1"/>
    <col min="3" max="3" width="41.5703125" style="427" customWidth="1"/>
    <col min="4" max="4" width="12.140625" style="427" customWidth="1"/>
    <col min="5" max="5" width="11.85546875" style="427" customWidth="1"/>
    <col min="6" max="6" width="11.7109375" style="427" customWidth="1"/>
    <col min="7" max="7" width="10.28515625" style="427" customWidth="1"/>
    <col min="8" max="8" width="11.140625" style="427" customWidth="1"/>
    <col min="9" max="9" width="14.42578125" style="427" customWidth="1"/>
    <col min="10" max="10" width="6.7109375" style="427" customWidth="1"/>
    <col min="11" max="16384" width="9.140625" style="427"/>
  </cols>
  <sheetData>
    <row r="1" spans="2:10" x14ac:dyDescent="0.25">
      <c r="B1" s="889"/>
    </row>
    <row r="2" spans="2:10" ht="35.450000000000003" customHeight="1" x14ac:dyDescent="0.25">
      <c r="B2" s="1272" t="s">
        <v>814</v>
      </c>
      <c r="C2" s="1273"/>
      <c r="D2" s="1273"/>
      <c r="E2" s="1273"/>
      <c r="F2" s="1273"/>
      <c r="G2" s="1273"/>
      <c r="H2" s="1273"/>
      <c r="I2" s="1273"/>
      <c r="J2" s="165"/>
    </row>
    <row r="3" spans="2:10" ht="24.75" customHeight="1" x14ac:dyDescent="0.25">
      <c r="B3" s="161"/>
      <c r="C3" s="162"/>
      <c r="D3" s="163"/>
      <c r="E3" s="164"/>
      <c r="F3" s="162"/>
      <c r="G3" s="165"/>
      <c r="H3" s="744" t="s">
        <v>3</v>
      </c>
      <c r="I3" s="745">
        <f>+'4_RAB'!$E$3</f>
        <v>46203</v>
      </c>
      <c r="J3" s="165"/>
    </row>
    <row r="4" spans="2:10" ht="18.75" x14ac:dyDescent="0.25">
      <c r="B4" s="1270" t="s">
        <v>815</v>
      </c>
      <c r="C4" s="1271"/>
      <c r="D4" s="1271"/>
      <c r="E4" s="1271"/>
      <c r="F4" s="1271"/>
      <c r="G4" s="1271"/>
      <c r="H4" s="1271"/>
      <c r="I4" s="1271"/>
      <c r="J4" s="1271"/>
    </row>
    <row r="5" spans="2:10" ht="80.25" customHeight="1" x14ac:dyDescent="0.25">
      <c r="B5" s="1165" t="s">
        <v>816</v>
      </c>
      <c r="C5" s="1165"/>
      <c r="D5" s="1165"/>
      <c r="E5" s="1165"/>
      <c r="F5" s="1165"/>
      <c r="G5" s="1165"/>
      <c r="H5" s="1165"/>
      <c r="I5" s="1165"/>
      <c r="J5" s="1165"/>
    </row>
    <row r="6" spans="2:10" ht="284.25" customHeight="1" x14ac:dyDescent="0.25">
      <c r="B6" s="1136" t="s">
        <v>817</v>
      </c>
      <c r="C6" s="1136"/>
      <c r="D6" s="1136"/>
      <c r="E6" s="1136"/>
      <c r="F6" s="1136"/>
      <c r="G6" s="1136"/>
      <c r="H6" s="1136"/>
      <c r="I6" s="1136"/>
      <c r="J6" s="1136"/>
    </row>
    <row r="7" spans="2:10" x14ac:dyDescent="0.25">
      <c r="B7" s="890"/>
      <c r="C7" s="890"/>
      <c r="D7" s="890"/>
      <c r="E7" s="890"/>
      <c r="F7" s="890"/>
      <c r="G7" s="890"/>
      <c r="H7" s="890"/>
      <c r="I7" s="890"/>
      <c r="J7" s="890"/>
    </row>
    <row r="8" spans="2:10" ht="12.95" customHeight="1" x14ac:dyDescent="0.25">
      <c r="B8" s="346" t="s">
        <v>818</v>
      </c>
      <c r="C8" s="891"/>
      <c r="D8" s="891"/>
      <c r="E8" s="891"/>
      <c r="F8" s="891"/>
      <c r="G8" s="891"/>
      <c r="H8" s="891"/>
      <c r="I8" s="891"/>
    </row>
    <row r="9" spans="2:10" ht="30" x14ac:dyDescent="0.25">
      <c r="C9" s="8" t="s">
        <v>819</v>
      </c>
      <c r="D9" s="895" t="s">
        <v>820</v>
      </c>
      <c r="E9" s="882" t="s">
        <v>821</v>
      </c>
      <c r="F9" s="882" t="s">
        <v>822</v>
      </c>
      <c r="G9" s="882" t="s">
        <v>823</v>
      </c>
      <c r="H9" s="882" t="s">
        <v>824</v>
      </c>
      <c r="I9" s="895" t="s">
        <v>825</v>
      </c>
    </row>
    <row r="10" spans="2:10" ht="15" x14ac:dyDescent="0.25">
      <c r="C10" s="885"/>
      <c r="D10" s="896" t="s">
        <v>826</v>
      </c>
      <c r="E10" s="897" t="s">
        <v>827</v>
      </c>
      <c r="F10" s="897" t="s">
        <v>828</v>
      </c>
      <c r="G10" s="897" t="s">
        <v>829</v>
      </c>
      <c r="H10" s="897" t="s">
        <v>830</v>
      </c>
      <c r="I10" s="896" t="s">
        <v>621</v>
      </c>
    </row>
    <row r="11" spans="2:10" ht="15" x14ac:dyDescent="0.25">
      <c r="C11" s="898" t="s">
        <v>831</v>
      </c>
      <c r="D11" s="899"/>
      <c r="E11" s="900"/>
      <c r="F11" s="899"/>
      <c r="G11" s="1077" t="s">
        <v>832</v>
      </c>
      <c r="H11" s="902"/>
      <c r="I11" s="903"/>
    </row>
    <row r="12" spans="2:10" ht="15" x14ac:dyDescent="0.25">
      <c r="C12" s="4" t="s">
        <v>833</v>
      </c>
      <c r="D12" s="904">
        <f>'14_QualityStandards'!D10</f>
        <v>0</v>
      </c>
      <c r="E12" s="905">
        <f>'14_QualityStandards'!E10</f>
        <v>4</v>
      </c>
      <c r="F12" s="904">
        <f>'14_QualityStandards'!F10</f>
        <v>8</v>
      </c>
      <c r="G12" s="906">
        <f>'14_QualityStandards'!H10</f>
        <v>789666</v>
      </c>
      <c r="H12" s="907">
        <f>'14_QualityStandards'!D20</f>
        <v>4</v>
      </c>
      <c r="I12" s="908">
        <f>+(E12-MAX(MIN(H12,F12),D12))*G12</f>
        <v>0</v>
      </c>
    </row>
    <row r="13" spans="2:10" ht="15" x14ac:dyDescent="0.25">
      <c r="C13" s="4" t="s">
        <v>834</v>
      </c>
      <c r="D13" s="904">
        <f>'14_QualityStandards'!D11</f>
        <v>4</v>
      </c>
      <c r="E13" s="905">
        <f>'14_QualityStandards'!E11</f>
        <v>21</v>
      </c>
      <c r="F13" s="904">
        <f>'14_QualityStandards'!F11</f>
        <v>38</v>
      </c>
      <c r="G13" s="906">
        <f>'14_QualityStandards'!H11</f>
        <v>170537</v>
      </c>
      <c r="H13" s="907">
        <f>'14_QualityStandards'!D21</f>
        <v>18</v>
      </c>
      <c r="I13" s="908">
        <f>+(E13-MAX(MIN(H13,F13),D13))*G13</f>
        <v>511611</v>
      </c>
    </row>
    <row r="14" spans="2:10" ht="15" x14ac:dyDescent="0.25">
      <c r="C14" s="4" t="s">
        <v>835</v>
      </c>
      <c r="D14" s="904">
        <f>'14_QualityStandards'!D12</f>
        <v>0</v>
      </c>
      <c r="E14" s="905">
        <f>'14_QualityStandards'!E12</f>
        <v>2</v>
      </c>
      <c r="F14" s="904">
        <f>'14_QualityStandards'!F12</f>
        <v>4</v>
      </c>
      <c r="G14" s="906">
        <f>'14_QualityStandards'!H12</f>
        <v>185592</v>
      </c>
      <c r="H14" s="907">
        <f>'14_QualityStandards'!D22</f>
        <v>2</v>
      </c>
      <c r="I14" s="908">
        <f t="shared" ref="I14:I17" si="0">+(E14-MAX(MIN(H14,F14),D14))*G14</f>
        <v>0</v>
      </c>
    </row>
    <row r="15" spans="2:10" ht="15" x14ac:dyDescent="0.25">
      <c r="C15" s="4" t="s">
        <v>836</v>
      </c>
      <c r="D15" s="904">
        <f>'14_QualityStandards'!D13</f>
        <v>4</v>
      </c>
      <c r="E15" s="905">
        <f>'14_QualityStandards'!E13</f>
        <v>15</v>
      </c>
      <c r="F15" s="904">
        <f>'14_QualityStandards'!F13</f>
        <v>26</v>
      </c>
      <c r="G15" s="906">
        <f>'14_QualityStandards'!H13</f>
        <v>57795</v>
      </c>
      <c r="H15" s="907">
        <f>'14_QualityStandards'!D23</f>
        <v>7</v>
      </c>
      <c r="I15" s="908">
        <f t="shared" si="0"/>
        <v>462360</v>
      </c>
    </row>
    <row r="16" spans="2:10" ht="15" x14ac:dyDescent="0.25">
      <c r="C16" s="4" t="s">
        <v>837</v>
      </c>
      <c r="D16" s="904">
        <f>'14_QualityStandards'!D14</f>
        <v>4</v>
      </c>
      <c r="E16" s="905">
        <f>'14_QualityStandards'!E14</f>
        <v>9</v>
      </c>
      <c r="F16" s="904">
        <f>'14_QualityStandards'!F14</f>
        <v>14</v>
      </c>
      <c r="G16" s="906">
        <f>'14_QualityStandards'!H14</f>
        <v>50000</v>
      </c>
      <c r="H16" s="907">
        <f>'14_QualityStandards'!D24</f>
        <v>6</v>
      </c>
      <c r="I16" s="908">
        <f t="shared" si="0"/>
        <v>150000</v>
      </c>
    </row>
    <row r="17" spans="2:10" ht="15" x14ac:dyDescent="0.25">
      <c r="C17" s="4" t="s">
        <v>838</v>
      </c>
      <c r="D17" s="904">
        <f>'14_QualityStandards'!D15</f>
        <v>4</v>
      </c>
      <c r="E17" s="905">
        <f>'14_QualityStandards'!E15</f>
        <v>7</v>
      </c>
      <c r="F17" s="904">
        <f>'14_QualityStandards'!F15</f>
        <v>10</v>
      </c>
      <c r="G17" s="906">
        <f>'14_QualityStandards'!H15</f>
        <v>83333</v>
      </c>
      <c r="H17" s="907">
        <f>'14_QualityStandards'!D25</f>
        <v>12</v>
      </c>
      <c r="I17" s="908">
        <f t="shared" si="0"/>
        <v>-249999</v>
      </c>
    </row>
    <row r="18" spans="2:10" ht="15" x14ac:dyDescent="0.25">
      <c r="C18" s="898" t="s">
        <v>839</v>
      </c>
      <c r="D18" s="899"/>
      <c r="E18" s="900"/>
      <c r="F18" s="899"/>
      <c r="G18" s="901" t="s">
        <v>832</v>
      </c>
      <c r="H18" s="909"/>
      <c r="I18" s="910"/>
    </row>
    <row r="19" spans="2:10" ht="15" x14ac:dyDescent="0.25">
      <c r="C19" s="4" t="s">
        <v>833</v>
      </c>
      <c r="D19" s="904">
        <f>'14_QualityStandards'!D45</f>
        <v>23</v>
      </c>
      <c r="E19" s="905">
        <f>'14_QualityStandards'!E45</f>
        <v>73</v>
      </c>
      <c r="F19" s="904">
        <f>'14_QualityStandards'!F45</f>
        <v>123</v>
      </c>
      <c r="G19" s="906">
        <f>'14_QualityStandards'!H45</f>
        <v>63173</v>
      </c>
      <c r="H19" s="907">
        <f>'14_QualityStandards'!D55</f>
        <v>105</v>
      </c>
      <c r="I19" s="908">
        <f t="shared" ref="I19:I24" si="1">+(E19-MAX(MIN(H19,F19),D19))*G19</f>
        <v>-2021536</v>
      </c>
    </row>
    <row r="20" spans="2:10" ht="15" x14ac:dyDescent="0.25">
      <c r="C20" s="4" t="s">
        <v>834</v>
      </c>
      <c r="D20" s="904">
        <f>'14_QualityStandards'!D46</f>
        <v>27</v>
      </c>
      <c r="E20" s="905">
        <f>'14_QualityStandards'!E46</f>
        <v>74</v>
      </c>
      <c r="F20" s="904">
        <f>'14_QualityStandards'!F46</f>
        <v>121</v>
      </c>
      <c r="G20" s="906">
        <f>'14_QualityStandards'!H46</f>
        <v>61683</v>
      </c>
      <c r="H20" s="907">
        <f>'14_QualityStandards'!D56</f>
        <v>80.777777777777771</v>
      </c>
      <c r="I20" s="908">
        <f t="shared" si="1"/>
        <v>-418073.66666666628</v>
      </c>
    </row>
    <row r="21" spans="2:10" ht="15" x14ac:dyDescent="0.25">
      <c r="C21" s="4" t="s">
        <v>835</v>
      </c>
      <c r="D21" s="904">
        <f>'14_QualityStandards'!D47</f>
        <v>15</v>
      </c>
      <c r="E21" s="905">
        <f>'14_QualityStandards'!E47</f>
        <v>66</v>
      </c>
      <c r="F21" s="904">
        <f>'14_QualityStandards'!F47</f>
        <v>117</v>
      </c>
      <c r="G21" s="906">
        <f>'14_QualityStandards'!H47</f>
        <v>7278</v>
      </c>
      <c r="H21" s="907">
        <f>'14_QualityStandards'!D57</f>
        <v>90</v>
      </c>
      <c r="I21" s="908">
        <f t="shared" si="1"/>
        <v>-174672</v>
      </c>
    </row>
    <row r="22" spans="2:10" ht="15" x14ac:dyDescent="0.25">
      <c r="C22" s="4" t="s">
        <v>836</v>
      </c>
      <c r="D22" s="904">
        <f>'14_QualityStandards'!D48</f>
        <v>0</v>
      </c>
      <c r="E22" s="905">
        <f>'14_QualityStandards'!E48</f>
        <v>104</v>
      </c>
      <c r="F22" s="904">
        <f>'14_QualityStandards'!F48</f>
        <v>208</v>
      </c>
      <c r="G22" s="906">
        <f>'14_QualityStandards'!H48</f>
        <v>6113</v>
      </c>
      <c r="H22" s="907">
        <f>'14_QualityStandards'!D58</f>
        <v>68.571428571428569</v>
      </c>
      <c r="I22" s="908">
        <f t="shared" si="1"/>
        <v>216574.85714285716</v>
      </c>
    </row>
    <row r="23" spans="2:10" ht="15" x14ac:dyDescent="0.25">
      <c r="C23" s="4" t="s">
        <v>837</v>
      </c>
      <c r="D23" s="904">
        <f>'14_QualityStandards'!D49</f>
        <v>30</v>
      </c>
      <c r="E23" s="905">
        <f>'14_QualityStandards'!E49</f>
        <v>225</v>
      </c>
      <c r="F23" s="904">
        <f>'14_QualityStandards'!F49</f>
        <v>420</v>
      </c>
      <c r="G23" s="906">
        <f>'14_QualityStandards'!H49</f>
        <v>1282</v>
      </c>
      <c r="H23" s="907">
        <f>'14_QualityStandards'!D59</f>
        <v>84.833333333333329</v>
      </c>
      <c r="I23" s="908">
        <f t="shared" si="1"/>
        <v>179693.66666666669</v>
      </c>
    </row>
    <row r="24" spans="2:10" ht="15" x14ac:dyDescent="0.25">
      <c r="C24" s="4" t="s">
        <v>838</v>
      </c>
      <c r="D24" s="904">
        <f>'14_QualityStandards'!D50</f>
        <v>0</v>
      </c>
      <c r="E24" s="905">
        <f>'14_QualityStandards'!E50</f>
        <v>123</v>
      </c>
      <c r="F24" s="904">
        <f>'14_QualityStandards'!F50</f>
        <v>246</v>
      </c>
      <c r="G24" s="906">
        <f>'14_QualityStandards'!H50</f>
        <v>2033</v>
      </c>
      <c r="H24" s="907">
        <f>'14_QualityStandards'!D60</f>
        <v>80.083333333333329</v>
      </c>
      <c r="I24" s="908">
        <f t="shared" si="1"/>
        <v>87249.583333333343</v>
      </c>
    </row>
    <row r="25" spans="2:10" ht="15" x14ac:dyDescent="0.25">
      <c r="C25" s="898" t="s">
        <v>840</v>
      </c>
      <c r="D25" s="899"/>
      <c r="E25" s="900"/>
      <c r="F25" s="899"/>
      <c r="G25" s="1076" t="s">
        <v>841</v>
      </c>
      <c r="H25" s="909"/>
      <c r="I25" s="911"/>
    </row>
    <row r="26" spans="2:10" ht="15" x14ac:dyDescent="0.25">
      <c r="C26" s="4" t="s">
        <v>842</v>
      </c>
      <c r="D26" s="912">
        <f>'14_QualityStandards'!D79</f>
        <v>0.99</v>
      </c>
      <c r="E26" s="851">
        <f>'14_QualityStandards'!E79</f>
        <v>0.98</v>
      </c>
      <c r="F26" s="912">
        <f>'14_QualityStandards'!F79</f>
        <v>0.97</v>
      </c>
      <c r="G26" s="913">
        <f>'14_QualityStandards'!H79</f>
        <v>1000000</v>
      </c>
      <c r="H26" s="914">
        <f>'14_QualityStandards'!D83</f>
        <v>0.98219999999999996</v>
      </c>
      <c r="I26" s="915">
        <f>-(E26-MAX(MIN(H26,D26),F26))*G26*100</f>
        <v>219999.99999999796</v>
      </c>
    </row>
    <row r="27" spans="2:10" ht="15" x14ac:dyDescent="0.25">
      <c r="C27" s="898" t="s">
        <v>843</v>
      </c>
      <c r="D27" s="899"/>
      <c r="E27" s="900"/>
      <c r="F27" s="899"/>
      <c r="G27" s="1076" t="s">
        <v>841</v>
      </c>
      <c r="H27" s="909"/>
      <c r="I27" s="911"/>
    </row>
    <row r="28" spans="2:10" ht="14.25" customHeight="1" x14ac:dyDescent="0.25">
      <c r="C28" s="916" t="s">
        <v>844</v>
      </c>
      <c r="D28" s="912">
        <f>'14_QualityStandards'!D94</f>
        <v>0.98619999999999997</v>
      </c>
      <c r="E28" s="851">
        <f>'14_QualityStandards'!E94</f>
        <v>0.98250000000000004</v>
      </c>
      <c r="F28" s="912">
        <f>'14_QualityStandards'!F94</f>
        <v>0.97870000000000001</v>
      </c>
      <c r="G28" s="913">
        <f>'14_QualityStandards'!H94</f>
        <v>5320564</v>
      </c>
      <c r="H28" s="917">
        <f>'14_QualityStandards'!D98</f>
        <v>0.98499999999999999</v>
      </c>
      <c r="I28" s="915">
        <f>-(E28-MAX(MIN(H28,D28),F28))*G28*100</f>
        <v>1330140.9999999716</v>
      </c>
    </row>
    <row r="29" spans="2:10" ht="14.25" customHeight="1" x14ac:dyDescent="0.25">
      <c r="C29" s="27" t="s">
        <v>845</v>
      </c>
      <c r="D29" s="899"/>
      <c r="E29" s="900"/>
      <c r="F29" s="899"/>
      <c r="G29" s="918"/>
      <c r="H29" s="919"/>
      <c r="I29" s="920">
        <f>SUM(I12:I28)</f>
        <v>293349.44047616026</v>
      </c>
    </row>
    <row r="30" spans="2:10" ht="14.25" customHeight="1" x14ac:dyDescent="0.25">
      <c r="C30"/>
      <c r="D30"/>
      <c r="E30"/>
      <c r="F30"/>
      <c r="G30"/>
      <c r="H30"/>
      <c r="I30"/>
    </row>
    <row r="31" spans="2:10" ht="36" customHeight="1" x14ac:dyDescent="0.25">
      <c r="B31" s="1111" t="s">
        <v>1084</v>
      </c>
      <c r="C31" s="1111"/>
      <c r="D31" s="1111"/>
      <c r="E31" s="1111"/>
      <c r="F31" s="1111"/>
      <c r="G31" s="1111"/>
      <c r="H31" s="1111"/>
      <c r="I31" s="1111"/>
      <c r="J31" s="1111"/>
    </row>
    <row r="32" spans="2:10" ht="27.75" customHeight="1" x14ac:dyDescent="0.25">
      <c r="B32" s="245"/>
      <c r="C32" s="894"/>
      <c r="D32" s="894"/>
      <c r="E32" s="894"/>
      <c r="F32" s="894"/>
    </row>
    <row r="33" spans="2:10" ht="15" x14ac:dyDescent="0.25">
      <c r="B33" s="153" t="str">
        <f>'Directors Certificate'!B57</f>
        <v>Transpower's Annual Compliance Statement for the year ending 30 June 2026</v>
      </c>
      <c r="C33" s="151"/>
      <c r="D33" s="151"/>
      <c r="E33" s="151"/>
      <c r="F33" s="151"/>
      <c r="G33" s="151"/>
      <c r="H33" s="151"/>
      <c r="I33" s="151"/>
      <c r="J33" s="151"/>
    </row>
  </sheetData>
  <mergeCells count="5">
    <mergeCell ref="B5:J5"/>
    <mergeCell ref="B6:J6"/>
    <mergeCell ref="B31:J31"/>
    <mergeCell ref="B4:J4"/>
    <mergeCell ref="B2:I2"/>
  </mergeCells>
  <hyperlinks>
    <hyperlink ref="B2" location="Contents!A1" display="A summary of pass-through costs and recoverable costs for the disclosure year as set out in Schedule H" xr:uid="{613A7BA1-6AD6-4CD8-B516-F17B61F7C765}"/>
    <hyperlink ref="B2:I2" location="'Table of Contents'!A1" display="'Table of Contents'!A1" xr:uid="{CFB627B9-B23E-49A7-A3B3-EF4627647D06}"/>
  </hyperlinks>
  <pageMargins left="0.23622047244094491" right="0.23622047244094491" top="0.74803149606299213" bottom="0.74803149606299213" header="0.31496062992125984" footer="0.31496062992125984"/>
  <pageSetup paperSize="8" fitToHeight="0" orientation="portrait" r:id="rId1"/>
  <headerFooter>
    <oddHeader>&amp;F</oddHeader>
    <oddFooter>&amp;A&amp;RPage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B855B-7EC2-4E90-A7AC-77AAAB93F603}">
  <sheetPr>
    <tabColor theme="7" tint="0.39997558519241921"/>
    <pageSetUpPr fitToPage="1"/>
  </sheetPr>
  <dimension ref="A1:N141"/>
  <sheetViews>
    <sheetView view="pageBreakPreview" zoomScaleNormal="100" zoomScaleSheetLayoutView="100" workbookViewId="0"/>
  </sheetViews>
  <sheetFormatPr defaultColWidth="9.140625" defaultRowHeight="13.5" x14ac:dyDescent="0.25"/>
  <cols>
    <col min="1" max="1" width="3.42578125" style="427" customWidth="1"/>
    <col min="2" max="2" width="7.85546875" style="427" customWidth="1"/>
    <col min="3" max="3" width="41.5703125" style="427" customWidth="1"/>
    <col min="4" max="4" width="12.140625" style="427" customWidth="1"/>
    <col min="5" max="5" width="12.85546875" style="427" customWidth="1"/>
    <col min="6" max="6" width="11.7109375" style="427" customWidth="1"/>
    <col min="7" max="7" width="12.7109375" style="427" customWidth="1"/>
    <col min="8" max="8" width="11.140625" style="427" customWidth="1"/>
    <col min="9" max="9" width="16.42578125" style="427" customWidth="1"/>
    <col min="10" max="10" width="9.5703125" style="427" customWidth="1"/>
    <col min="11" max="11" width="13" style="427" customWidth="1"/>
    <col min="12" max="12" width="11.5703125" style="427" customWidth="1"/>
    <col min="13" max="13" width="13.7109375" style="427" customWidth="1"/>
    <col min="14" max="14" width="12.140625" style="427" customWidth="1"/>
    <col min="15" max="16384" width="9.140625" style="427"/>
  </cols>
  <sheetData>
    <row r="1" spans="2:14" x14ac:dyDescent="0.25">
      <c r="B1" s="889"/>
    </row>
    <row r="2" spans="2:14" ht="35.450000000000003" customHeight="1" x14ac:dyDescent="0.25">
      <c r="B2" s="1272" t="s">
        <v>846</v>
      </c>
      <c r="C2" s="1273"/>
      <c r="D2" s="1273"/>
      <c r="E2" s="1273"/>
      <c r="F2" s="1273"/>
      <c r="G2" s="1273"/>
      <c r="H2" s="1273"/>
      <c r="I2" s="1273"/>
      <c r="J2" s="1273"/>
      <c r="K2" s="1273"/>
      <c r="L2" s="1273"/>
      <c r="M2" s="165"/>
      <c r="N2" s="165"/>
    </row>
    <row r="3" spans="2:14" ht="24.75" customHeight="1" x14ac:dyDescent="0.25">
      <c r="B3" s="161"/>
      <c r="C3" s="162"/>
      <c r="D3" s="163"/>
      <c r="E3" s="164"/>
      <c r="F3" s="162"/>
      <c r="G3" s="165"/>
      <c r="H3" s="165"/>
      <c r="I3" s="165"/>
      <c r="J3" s="165"/>
      <c r="K3" s="165"/>
      <c r="L3" s="165"/>
      <c r="M3" s="463" t="s">
        <v>3</v>
      </c>
      <c r="N3" s="746">
        <f>+'4_RAB'!$E$3</f>
        <v>46203</v>
      </c>
    </row>
    <row r="4" spans="2:14" ht="18.75" x14ac:dyDescent="0.3">
      <c r="B4" s="1278" t="s">
        <v>847</v>
      </c>
      <c r="C4" s="1279"/>
      <c r="D4" s="1279"/>
      <c r="E4" s="1279"/>
      <c r="F4" s="1279"/>
      <c r="G4" s="1279"/>
      <c r="H4" s="1279"/>
      <c r="I4" s="1279"/>
      <c r="J4" s="1279"/>
      <c r="K4" s="1279"/>
      <c r="L4" s="1279"/>
      <c r="M4" s="1279"/>
      <c r="N4" s="1280"/>
    </row>
    <row r="5" spans="2:14" ht="69.95" customHeight="1" x14ac:dyDescent="0.25">
      <c r="B5" s="1165" t="s">
        <v>848</v>
      </c>
      <c r="C5" s="1165"/>
      <c r="D5" s="1165"/>
      <c r="E5" s="1165"/>
      <c r="F5" s="1165"/>
      <c r="G5" s="1165"/>
      <c r="H5" s="1165"/>
      <c r="I5" s="1165"/>
      <c r="J5" s="1165"/>
      <c r="K5" s="1165"/>
      <c r="L5" s="1165"/>
      <c r="M5" s="1165"/>
      <c r="N5" s="1165"/>
    </row>
    <row r="6" spans="2:14" ht="141.6" customHeight="1" x14ac:dyDescent="0.25">
      <c r="B6" s="1136" t="s">
        <v>1085</v>
      </c>
      <c r="C6" s="1136"/>
      <c r="D6" s="1136"/>
      <c r="E6" s="1136"/>
      <c r="F6" s="1136"/>
      <c r="G6" s="1136"/>
      <c r="H6" s="1136"/>
      <c r="I6" s="1136"/>
      <c r="J6" s="1136"/>
      <c r="K6" s="1136"/>
      <c r="L6" s="1136"/>
      <c r="M6" s="1136"/>
      <c r="N6" s="1136"/>
    </row>
    <row r="7" spans="2:14" ht="15" x14ac:dyDescent="0.25">
      <c r="B7" s="346" t="s">
        <v>849</v>
      </c>
      <c r="C7" s="923"/>
    </row>
    <row r="8" spans="2:14" ht="60" x14ac:dyDescent="0.25">
      <c r="C8" s="977" t="s">
        <v>819</v>
      </c>
      <c r="D8" s="895" t="s">
        <v>820</v>
      </c>
      <c r="E8" s="882" t="s">
        <v>821</v>
      </c>
      <c r="F8" s="882" t="s">
        <v>822</v>
      </c>
      <c r="G8" s="895" t="s">
        <v>850</v>
      </c>
      <c r="H8" s="895" t="s">
        <v>851</v>
      </c>
    </row>
    <row r="9" spans="2:14" ht="15" x14ac:dyDescent="0.25">
      <c r="C9" s="43"/>
      <c r="D9" s="200" t="s">
        <v>826</v>
      </c>
      <c r="E9" s="43" t="s">
        <v>827</v>
      </c>
      <c r="F9" s="43" t="s">
        <v>828</v>
      </c>
      <c r="G9" s="200" t="s">
        <v>852</v>
      </c>
      <c r="H9" s="200" t="s">
        <v>853</v>
      </c>
    </row>
    <row r="10" spans="2:14" ht="15" x14ac:dyDescent="0.25">
      <c r="C10" s="978" t="s">
        <v>833</v>
      </c>
      <c r="D10" s="979">
        <v>0</v>
      </c>
      <c r="E10" s="979">
        <v>4</v>
      </c>
      <c r="F10" s="979">
        <v>8</v>
      </c>
      <c r="G10" s="979">
        <v>8</v>
      </c>
      <c r="H10" s="979">
        <v>789666</v>
      </c>
    </row>
    <row r="11" spans="2:14" ht="15" x14ac:dyDescent="0.25">
      <c r="C11" s="4" t="s">
        <v>834</v>
      </c>
      <c r="D11" s="908">
        <v>4</v>
      </c>
      <c r="E11" s="980">
        <v>21</v>
      </c>
      <c r="F11" s="980">
        <v>38</v>
      </c>
      <c r="G11" s="908">
        <v>38</v>
      </c>
      <c r="H11" s="908">
        <v>170537</v>
      </c>
    </row>
    <row r="12" spans="2:14" ht="15" x14ac:dyDescent="0.25">
      <c r="C12" s="4" t="s">
        <v>835</v>
      </c>
      <c r="D12" s="908">
        <v>0</v>
      </c>
      <c r="E12" s="908">
        <v>2</v>
      </c>
      <c r="F12" s="908">
        <v>4</v>
      </c>
      <c r="G12" s="908">
        <v>4</v>
      </c>
      <c r="H12" s="908">
        <v>185592</v>
      </c>
    </row>
    <row r="13" spans="2:14" ht="15" x14ac:dyDescent="0.25">
      <c r="C13" s="4" t="s">
        <v>836</v>
      </c>
      <c r="D13" s="908">
        <v>4</v>
      </c>
      <c r="E13" s="980">
        <v>15</v>
      </c>
      <c r="F13" s="980">
        <v>26</v>
      </c>
      <c r="G13" s="908">
        <v>26</v>
      </c>
      <c r="H13" s="908">
        <v>57795</v>
      </c>
    </row>
    <row r="14" spans="2:14" ht="15" x14ac:dyDescent="0.25">
      <c r="C14" s="4" t="s">
        <v>837</v>
      </c>
      <c r="D14" s="908">
        <v>4</v>
      </c>
      <c r="E14" s="908">
        <v>9</v>
      </c>
      <c r="F14" s="908">
        <v>14</v>
      </c>
      <c r="G14" s="908">
        <v>14</v>
      </c>
      <c r="H14" s="908">
        <v>50000</v>
      </c>
    </row>
    <row r="15" spans="2:14" ht="15" x14ac:dyDescent="0.25">
      <c r="C15" s="307" t="s">
        <v>838</v>
      </c>
      <c r="D15" s="981">
        <v>4</v>
      </c>
      <c r="E15" s="982">
        <v>7</v>
      </c>
      <c r="F15" s="982">
        <v>10</v>
      </c>
      <c r="G15" s="981">
        <v>10</v>
      </c>
      <c r="H15" s="981">
        <v>83333</v>
      </c>
    </row>
    <row r="16" spans="2:14" ht="14.25" thickBot="1" x14ac:dyDescent="0.3"/>
    <row r="17" spans="2:14" ht="15.75" thickBot="1" x14ac:dyDescent="0.3">
      <c r="B17" s="346" t="s">
        <v>854</v>
      </c>
      <c r="C17" s="1"/>
      <c r="D17" s="983">
        <v>2026</v>
      </c>
      <c r="E17" s="984"/>
      <c r="F17" s="983">
        <v>2027</v>
      </c>
      <c r="G17" s="985"/>
      <c r="H17" s="983">
        <v>2028</v>
      </c>
      <c r="I17" s="984"/>
      <c r="J17" s="983">
        <v>2029</v>
      </c>
      <c r="K17" s="984"/>
      <c r="L17" s="983">
        <v>2030</v>
      </c>
      <c r="M17" s="985"/>
    </row>
    <row r="18" spans="2:14" ht="57" customHeight="1" x14ac:dyDescent="0.25">
      <c r="C18" s="8" t="s">
        <v>819</v>
      </c>
      <c r="D18" s="986" t="s">
        <v>824</v>
      </c>
      <c r="E18" s="987" t="s">
        <v>1113</v>
      </c>
      <c r="F18" s="988" t="s">
        <v>824</v>
      </c>
      <c r="G18" s="987" t="s">
        <v>1113</v>
      </c>
      <c r="H18" s="988" t="s">
        <v>824</v>
      </c>
      <c r="I18" s="987" t="s">
        <v>1113</v>
      </c>
      <c r="J18" s="988" t="s">
        <v>824</v>
      </c>
      <c r="K18" s="987" t="s">
        <v>1113</v>
      </c>
      <c r="L18" s="988" t="s">
        <v>824</v>
      </c>
      <c r="M18" s="987" t="s">
        <v>1113</v>
      </c>
    </row>
    <row r="19" spans="2:14" ht="15" customHeight="1" x14ac:dyDescent="0.25">
      <c r="C19" s="43" t="s">
        <v>855</v>
      </c>
      <c r="D19" s="989" t="str">
        <f>IF(COUNTIF(E20:E26,"?*")=0, "", IF(COUNTIF(E20:E26, "Yes")&gt;4, "Complies", "Non Compliant"))</f>
        <v>Complies</v>
      </c>
      <c r="E19" s="990"/>
      <c r="F19" s="989" t="str">
        <f>IF(COUNTIF(G20:G26,"?*")=0, "", IF(COUNTIF(G20:G26, "Yes")&gt;4, "Complies", "Non Compliant"))</f>
        <v/>
      </c>
      <c r="G19" s="990"/>
      <c r="H19" s="989" t="str">
        <f>IF(COUNTIF(I20:I26,"?*")=0, "", IF(COUNTIF(I20:I26, "Yes")&gt;4, "Complies", "Non Compliant"))</f>
        <v/>
      </c>
      <c r="I19" s="990"/>
      <c r="J19" s="989" t="str">
        <f>IF(COUNTIF(K20:K26,"?*")=0, "", IF(COUNTIF(K20:K26, "Yes")&gt;4, "Complies", "Non Compliant"))</f>
        <v/>
      </c>
      <c r="K19" s="990"/>
      <c r="L19" s="989" t="str">
        <f>IF(COUNTIF(M20:M26,"?*")=0, "", IF(COUNTIF(M20:M26, "Yes")&gt;4, "Complies", "Non Compliant"))</f>
        <v/>
      </c>
      <c r="M19" s="990"/>
    </row>
    <row r="20" spans="2:14" ht="15" x14ac:dyDescent="0.25">
      <c r="C20" s="916" t="s">
        <v>833</v>
      </c>
      <c r="D20" s="991">
        <v>4</v>
      </c>
      <c r="E20" s="992" t="str">
        <f>IF(LEN(D20)=0, "", IF(D20&lt;=F10, "Yes", "No"))</f>
        <v>Yes</v>
      </c>
      <c r="F20" s="991" t="s">
        <v>1149</v>
      </c>
      <c r="G20" s="992" t="str">
        <f t="shared" ref="G20:G25" si="0">IF(LEN(F20)=0, "", IF(F20&lt;=F10, "Yes", "No"))</f>
        <v/>
      </c>
      <c r="H20" s="991" t="s">
        <v>1149</v>
      </c>
      <c r="I20" s="992" t="str">
        <f t="shared" ref="I20:I25" si="1">IF(LEN(H20)=0, "", IF(H20&lt;=F10, "Yes", "No"))</f>
        <v/>
      </c>
      <c r="J20" s="991" t="s">
        <v>1149</v>
      </c>
      <c r="K20" s="992" t="str">
        <f t="shared" ref="K20:K25" si="2">IF(LEN(J20)=0, "", IF(J20&lt;=F10, "Yes", "No"))</f>
        <v/>
      </c>
      <c r="L20" s="991" t="s">
        <v>1149</v>
      </c>
      <c r="M20" s="992" t="str">
        <f t="shared" ref="M20:M25" si="3">IF(LEN(L20)=0, "", IF(L20&lt;=F10, "Yes", "No"))</f>
        <v/>
      </c>
    </row>
    <row r="21" spans="2:14" ht="15" x14ac:dyDescent="0.25">
      <c r="C21" s="4" t="s">
        <v>834</v>
      </c>
      <c r="D21" s="993">
        <v>18</v>
      </c>
      <c r="E21" s="992" t="str">
        <f t="shared" ref="E21:E25" si="4">IF(LEN(D21)=0, "", IF(D21&lt;=F11, "Yes", "No"))</f>
        <v>Yes</v>
      </c>
      <c r="F21" s="993" t="s">
        <v>1149</v>
      </c>
      <c r="G21" s="992" t="str">
        <f t="shared" si="0"/>
        <v/>
      </c>
      <c r="H21" s="993" t="s">
        <v>1149</v>
      </c>
      <c r="I21" s="992" t="str">
        <f t="shared" si="1"/>
        <v/>
      </c>
      <c r="J21" s="993" t="s">
        <v>1149</v>
      </c>
      <c r="K21" s="992" t="str">
        <f t="shared" si="2"/>
        <v/>
      </c>
      <c r="L21" s="993" t="s">
        <v>1149</v>
      </c>
      <c r="M21" s="992" t="str">
        <f t="shared" si="3"/>
        <v/>
      </c>
    </row>
    <row r="22" spans="2:14" ht="15" x14ac:dyDescent="0.25">
      <c r="C22" s="4" t="s">
        <v>835</v>
      </c>
      <c r="D22" s="993">
        <v>2</v>
      </c>
      <c r="E22" s="992" t="str">
        <f t="shared" si="4"/>
        <v>Yes</v>
      </c>
      <c r="F22" s="993" t="s">
        <v>1149</v>
      </c>
      <c r="G22" s="992" t="str">
        <f t="shared" si="0"/>
        <v/>
      </c>
      <c r="H22" s="993" t="s">
        <v>1149</v>
      </c>
      <c r="I22" s="992" t="str">
        <f t="shared" si="1"/>
        <v/>
      </c>
      <c r="J22" s="993" t="s">
        <v>1149</v>
      </c>
      <c r="K22" s="992" t="str">
        <f t="shared" si="2"/>
        <v/>
      </c>
      <c r="L22" s="993" t="s">
        <v>1149</v>
      </c>
      <c r="M22" s="992" t="str">
        <f t="shared" si="3"/>
        <v/>
      </c>
    </row>
    <row r="23" spans="2:14" ht="15" x14ac:dyDescent="0.25">
      <c r="C23" s="4" t="s">
        <v>836</v>
      </c>
      <c r="D23" s="993">
        <v>7</v>
      </c>
      <c r="E23" s="992" t="str">
        <f t="shared" si="4"/>
        <v>Yes</v>
      </c>
      <c r="F23" s="993" t="s">
        <v>1149</v>
      </c>
      <c r="G23" s="992" t="str">
        <f t="shared" si="0"/>
        <v/>
      </c>
      <c r="H23" s="993" t="s">
        <v>1149</v>
      </c>
      <c r="I23" s="992" t="str">
        <f t="shared" si="1"/>
        <v/>
      </c>
      <c r="J23" s="993" t="s">
        <v>1149</v>
      </c>
      <c r="K23" s="992" t="str">
        <f t="shared" si="2"/>
        <v/>
      </c>
      <c r="L23" s="993" t="s">
        <v>1149</v>
      </c>
      <c r="M23" s="992" t="str">
        <f t="shared" si="3"/>
        <v/>
      </c>
    </row>
    <row r="24" spans="2:14" ht="15" x14ac:dyDescent="0.25">
      <c r="C24" s="4" t="s">
        <v>837</v>
      </c>
      <c r="D24" s="993">
        <v>6</v>
      </c>
      <c r="E24" s="992" t="str">
        <f t="shared" si="4"/>
        <v>Yes</v>
      </c>
      <c r="F24" s="993" t="s">
        <v>1149</v>
      </c>
      <c r="G24" s="992" t="str">
        <f t="shared" si="0"/>
        <v/>
      </c>
      <c r="H24" s="993" t="s">
        <v>1149</v>
      </c>
      <c r="I24" s="992" t="str">
        <f t="shared" si="1"/>
        <v/>
      </c>
      <c r="J24" s="993" t="s">
        <v>1149</v>
      </c>
      <c r="K24" s="992" t="str">
        <f t="shared" si="2"/>
        <v/>
      </c>
      <c r="L24" s="993" t="s">
        <v>1149</v>
      </c>
      <c r="M24" s="992" t="str">
        <f t="shared" si="3"/>
        <v/>
      </c>
    </row>
    <row r="25" spans="2:14" ht="15.75" thickBot="1" x14ac:dyDescent="0.3">
      <c r="C25" s="307" t="s">
        <v>838</v>
      </c>
      <c r="D25" s="994">
        <v>12</v>
      </c>
      <c r="E25" s="995" t="str">
        <f t="shared" si="4"/>
        <v>No</v>
      </c>
      <c r="F25" s="994" t="s">
        <v>1149</v>
      </c>
      <c r="G25" s="995" t="str">
        <f t="shared" si="0"/>
        <v/>
      </c>
      <c r="H25" s="994" t="s">
        <v>1149</v>
      </c>
      <c r="I25" s="995" t="str">
        <f t="shared" si="1"/>
        <v/>
      </c>
      <c r="J25" s="994" t="s">
        <v>1149</v>
      </c>
      <c r="K25" s="995" t="str">
        <f t="shared" si="2"/>
        <v/>
      </c>
      <c r="L25" s="994" t="s">
        <v>1149</v>
      </c>
      <c r="M25" s="995" t="str">
        <f t="shared" si="3"/>
        <v/>
      </c>
    </row>
    <row r="27" spans="2:14" x14ac:dyDescent="0.25">
      <c r="B27" s="932" t="s">
        <v>856</v>
      </c>
      <c r="C27" s="932"/>
    </row>
    <row r="28" spans="2:14" ht="15" x14ac:dyDescent="0.25">
      <c r="B28" s="1136" t="s">
        <v>857</v>
      </c>
      <c r="C28" s="1136"/>
      <c r="D28" s="1136"/>
      <c r="E28" s="1136"/>
      <c r="F28" s="1136"/>
      <c r="G28" s="1136"/>
      <c r="H28" s="1136"/>
      <c r="I28" s="1136"/>
      <c r="J28" s="1136"/>
      <c r="K28" s="1136"/>
      <c r="L28" s="1136"/>
      <c r="M28" s="1136"/>
      <c r="N28" s="1136"/>
    </row>
    <row r="29" spans="2:14" s="1" customFormat="1" ht="15" x14ac:dyDescent="0.25">
      <c r="B29" s="346" t="s">
        <v>858</v>
      </c>
    </row>
    <row r="30" spans="2:14" ht="15" x14ac:dyDescent="0.25">
      <c r="C30" s="27" t="s">
        <v>1086</v>
      </c>
      <c r="D30" s="1275" t="s">
        <v>859</v>
      </c>
      <c r="E30" s="1275"/>
      <c r="F30" s="1275"/>
      <c r="G30" s="1275"/>
    </row>
    <row r="31" spans="2:14" ht="15" x14ac:dyDescent="0.25">
      <c r="C31" s="27">
        <v>2026</v>
      </c>
      <c r="D31" s="1276" t="str">
        <f>D19</f>
        <v>Complies</v>
      </c>
      <c r="E31" s="1276"/>
      <c r="F31" s="1276"/>
      <c r="G31" s="1276"/>
    </row>
    <row r="32" spans="2:14" ht="15" x14ac:dyDescent="0.25">
      <c r="C32" s="27">
        <v>2025</v>
      </c>
      <c r="D32" s="1274" t="s">
        <v>860</v>
      </c>
      <c r="E32" s="1274"/>
      <c r="F32" s="1274"/>
      <c r="G32" s="1274"/>
    </row>
    <row r="33" spans="2:14" ht="15" x14ac:dyDescent="0.25">
      <c r="C33" s="27">
        <v>2024</v>
      </c>
      <c r="D33" s="1274" t="s">
        <v>860</v>
      </c>
      <c r="E33" s="1274"/>
      <c r="F33" s="1274"/>
      <c r="G33" s="1274"/>
    </row>
    <row r="34" spans="2:14" x14ac:dyDescent="0.25">
      <c r="B34" s="934"/>
      <c r="C34" s="934"/>
    </row>
    <row r="35" spans="2:14" x14ac:dyDescent="0.25">
      <c r="B35" s="932" t="s">
        <v>861</v>
      </c>
      <c r="C35" s="934"/>
    </row>
    <row r="36" spans="2:14" ht="53.45" customHeight="1" x14ac:dyDescent="0.25">
      <c r="B36" s="1136" t="s">
        <v>862</v>
      </c>
      <c r="C36" s="1136"/>
      <c r="D36" s="1136"/>
      <c r="E36" s="1136"/>
      <c r="F36" s="1136"/>
      <c r="G36" s="1136"/>
      <c r="H36" s="1136"/>
      <c r="I36" s="1136"/>
      <c r="J36" s="1136"/>
      <c r="K36" s="1136"/>
      <c r="L36" s="1136"/>
      <c r="M36" s="1136"/>
      <c r="N36" s="1136"/>
    </row>
    <row r="37" spans="2:14" ht="88.5" customHeight="1" x14ac:dyDescent="0.25">
      <c r="C37" s="1184" t="s">
        <v>1117</v>
      </c>
      <c r="D37" s="1184"/>
      <c r="E37" s="1184"/>
      <c r="F37" s="1184"/>
      <c r="G37" s="1184"/>
      <c r="H37" s="1184"/>
      <c r="I37" s="1184"/>
      <c r="J37" s="1184"/>
      <c r="K37" s="1184"/>
      <c r="L37" s="1184"/>
      <c r="M37" s="1184"/>
    </row>
    <row r="39" spans="2:14" ht="18.75" x14ac:dyDescent="0.25">
      <c r="B39" s="1270" t="s">
        <v>863</v>
      </c>
      <c r="C39" s="1271"/>
      <c r="D39" s="1271"/>
      <c r="E39" s="1271"/>
      <c r="F39" s="1271"/>
      <c r="G39" s="1271"/>
      <c r="H39" s="1271"/>
      <c r="I39" s="1271"/>
      <c r="J39" s="1271"/>
      <c r="K39" s="1271"/>
      <c r="L39" s="1271"/>
      <c r="M39" s="1271"/>
      <c r="N39" s="1271"/>
    </row>
    <row r="40" spans="2:14" ht="42" customHeight="1" x14ac:dyDescent="0.25">
      <c r="B40" s="1283" t="s">
        <v>864</v>
      </c>
      <c r="C40" s="1283"/>
      <c r="D40" s="1283"/>
      <c r="E40" s="1283"/>
      <c r="F40" s="1283"/>
      <c r="G40" s="1283"/>
      <c r="H40" s="1283"/>
      <c r="I40" s="1283"/>
      <c r="J40" s="1283"/>
      <c r="K40" s="1283"/>
      <c r="L40" s="1283"/>
      <c r="M40" s="1283"/>
      <c r="N40" s="1283"/>
    </row>
    <row r="41" spans="2:14" ht="142.5" customHeight="1" x14ac:dyDescent="0.25">
      <c r="B41" s="1136" t="s">
        <v>1087</v>
      </c>
      <c r="C41" s="1136"/>
      <c r="D41" s="1136"/>
      <c r="E41" s="1136"/>
      <c r="F41" s="1136"/>
      <c r="G41" s="1136"/>
      <c r="H41" s="1136"/>
      <c r="I41" s="1136"/>
      <c r="J41" s="1136"/>
      <c r="K41" s="1136"/>
      <c r="L41" s="1136"/>
      <c r="M41" s="1136"/>
      <c r="N41" s="1136"/>
    </row>
    <row r="42" spans="2:14" ht="15" x14ac:dyDescent="0.25">
      <c r="B42" s="346" t="s">
        <v>865</v>
      </c>
      <c r="C42" s="883"/>
      <c r="D42" s="883"/>
      <c r="E42" s="883"/>
      <c r="F42" s="883"/>
      <c r="G42" s="883"/>
      <c r="H42" s="883"/>
      <c r="I42" s="883"/>
      <c r="J42" s="883"/>
      <c r="K42" s="883"/>
      <c r="L42" s="883"/>
      <c r="M42" s="883"/>
    </row>
    <row r="43" spans="2:14" ht="60" x14ac:dyDescent="0.25">
      <c r="C43" s="8" t="s">
        <v>819</v>
      </c>
      <c r="D43" s="895" t="s">
        <v>820</v>
      </c>
      <c r="E43" s="882" t="s">
        <v>821</v>
      </c>
      <c r="F43" s="882" t="s">
        <v>822</v>
      </c>
      <c r="G43" s="895" t="s">
        <v>850</v>
      </c>
      <c r="H43" s="895" t="s">
        <v>851</v>
      </c>
    </row>
    <row r="44" spans="2:14" ht="15" x14ac:dyDescent="0.25">
      <c r="C44" s="24"/>
      <c r="D44" s="200" t="s">
        <v>826</v>
      </c>
      <c r="E44" s="43" t="s">
        <v>827</v>
      </c>
      <c r="F44" s="43" t="s">
        <v>828</v>
      </c>
      <c r="G44" s="200" t="s">
        <v>852</v>
      </c>
      <c r="H44" s="200" t="s">
        <v>853</v>
      </c>
    </row>
    <row r="45" spans="2:14" ht="15" x14ac:dyDescent="0.25">
      <c r="C45" s="916" t="s">
        <v>833</v>
      </c>
      <c r="D45" s="979">
        <v>23</v>
      </c>
      <c r="E45" s="979">
        <v>73</v>
      </c>
      <c r="F45" s="979">
        <v>123</v>
      </c>
      <c r="G45" s="979">
        <v>123</v>
      </c>
      <c r="H45" s="979">
        <v>63173</v>
      </c>
    </row>
    <row r="46" spans="2:14" ht="15" x14ac:dyDescent="0.25">
      <c r="C46" s="4" t="s">
        <v>834</v>
      </c>
      <c r="D46" s="980">
        <v>27</v>
      </c>
      <c r="E46" s="980">
        <v>74</v>
      </c>
      <c r="F46" s="980">
        <v>121</v>
      </c>
      <c r="G46" s="908">
        <v>121</v>
      </c>
      <c r="H46" s="908">
        <v>61683</v>
      </c>
    </row>
    <row r="47" spans="2:14" ht="15" x14ac:dyDescent="0.25">
      <c r="C47" s="4" t="s">
        <v>835</v>
      </c>
      <c r="D47" s="908">
        <v>15</v>
      </c>
      <c r="E47" s="908">
        <v>66</v>
      </c>
      <c r="F47" s="908">
        <v>117</v>
      </c>
      <c r="G47" s="908">
        <v>117</v>
      </c>
      <c r="H47" s="908">
        <v>7278</v>
      </c>
    </row>
    <row r="48" spans="2:14" ht="15" x14ac:dyDescent="0.25">
      <c r="C48" s="4" t="s">
        <v>836</v>
      </c>
      <c r="D48" s="980">
        <v>0</v>
      </c>
      <c r="E48" s="980">
        <v>104</v>
      </c>
      <c r="F48" s="980">
        <v>208</v>
      </c>
      <c r="G48" s="908">
        <v>208</v>
      </c>
      <c r="H48" s="908">
        <v>6113</v>
      </c>
    </row>
    <row r="49" spans="2:14" ht="15" x14ac:dyDescent="0.25">
      <c r="C49" s="4" t="s">
        <v>837</v>
      </c>
      <c r="D49" s="908">
        <v>30</v>
      </c>
      <c r="E49" s="908">
        <v>225</v>
      </c>
      <c r="F49" s="908">
        <v>420</v>
      </c>
      <c r="G49" s="908">
        <v>420</v>
      </c>
      <c r="H49" s="908">
        <v>1282</v>
      </c>
    </row>
    <row r="50" spans="2:14" ht="14.25" customHeight="1" x14ac:dyDescent="0.25">
      <c r="C50" s="307" t="s">
        <v>838</v>
      </c>
      <c r="D50" s="982">
        <v>0</v>
      </c>
      <c r="E50" s="982">
        <v>123</v>
      </c>
      <c r="F50" s="982">
        <v>246</v>
      </c>
      <c r="G50" s="981">
        <v>246</v>
      </c>
      <c r="H50" s="981">
        <v>2033</v>
      </c>
    </row>
    <row r="51" spans="2:14" ht="14.25" customHeight="1" thickBot="1" x14ac:dyDescent="0.3">
      <c r="B51" s="656"/>
      <c r="C51" s="656"/>
      <c r="D51" s="894"/>
      <c r="E51" s="894"/>
      <c r="F51" s="894"/>
      <c r="G51" s="894"/>
    </row>
    <row r="52" spans="2:14" ht="14.25" customHeight="1" thickBot="1" x14ac:dyDescent="0.3">
      <c r="B52" s="346" t="s">
        <v>866</v>
      </c>
      <c r="C52" s="1"/>
      <c r="D52" s="983">
        <v>2026</v>
      </c>
      <c r="E52" s="984"/>
      <c r="F52" s="983">
        <v>2027</v>
      </c>
      <c r="G52" s="985"/>
      <c r="H52" s="983">
        <v>2028</v>
      </c>
      <c r="I52" s="984"/>
      <c r="J52" s="983">
        <v>2029</v>
      </c>
      <c r="K52" s="984"/>
      <c r="L52" s="983">
        <v>2030</v>
      </c>
      <c r="M52" s="985"/>
    </row>
    <row r="53" spans="2:14" s="935" customFormat="1" ht="57.75" customHeight="1" x14ac:dyDescent="0.25">
      <c r="C53" s="8" t="s">
        <v>819</v>
      </c>
      <c r="D53" s="986" t="s">
        <v>824</v>
      </c>
      <c r="E53" s="987" t="s">
        <v>1113</v>
      </c>
      <c r="F53" s="988" t="s">
        <v>824</v>
      </c>
      <c r="G53" s="987" t="s">
        <v>1113</v>
      </c>
      <c r="H53" s="988" t="s">
        <v>824</v>
      </c>
      <c r="I53" s="987" t="s">
        <v>1113</v>
      </c>
      <c r="J53" s="988" t="s">
        <v>824</v>
      </c>
      <c r="K53" s="987" t="s">
        <v>1113</v>
      </c>
      <c r="L53" s="988" t="s">
        <v>824</v>
      </c>
      <c r="M53" s="987" t="s">
        <v>1113</v>
      </c>
    </row>
    <row r="54" spans="2:14" ht="14.25" customHeight="1" x14ac:dyDescent="0.25">
      <c r="C54" s="43" t="s">
        <v>855</v>
      </c>
      <c r="D54" s="989" t="str">
        <f>IF(COUNTIF(E55:E61,"?*")=0, "", IF(COUNTIF(E55:E61, "Yes")&gt;4, "Complies", "Non Compliant"))</f>
        <v>Complies</v>
      </c>
      <c r="E54" s="990"/>
      <c r="F54" s="989" t="str">
        <f>IF(COUNTIF(G55:G61,"?*")=0, "", IF(COUNTIF(G55:G61, "Yes")&gt;4, "Complies", "Non Compliant"))</f>
        <v/>
      </c>
      <c r="G54" s="990"/>
      <c r="H54" s="989" t="str">
        <f>IF(COUNTIF(I55:I61,"?*")=0, "", IF(COUNTIF(I55:I61, "Yes")&gt;4, "Complies", "Non Compliant"))</f>
        <v/>
      </c>
      <c r="I54" s="990"/>
      <c r="J54" s="989" t="str">
        <f>IF(COUNTIF(K55:K61,"?*")=0, "", IF(COUNTIF(K55:K61, "Yes")&gt;4, "Complies", "Non Compliant"))</f>
        <v/>
      </c>
      <c r="K54" s="990"/>
      <c r="L54" s="989" t="str">
        <f>IF(COUNTIF(M55:M61,"?*")=0, "", IF(COUNTIF(M55:M61, "Yes")&gt;4, "Complies", "Non Compliant"))</f>
        <v/>
      </c>
      <c r="M54" s="990"/>
    </row>
    <row r="55" spans="2:14" ht="14.25" customHeight="1" x14ac:dyDescent="0.25">
      <c r="C55" s="916" t="s">
        <v>833</v>
      </c>
      <c r="D55" s="993">
        <v>105</v>
      </c>
      <c r="E55" s="992" t="str">
        <f>IF(LEN(D55)=0, "", IF(D55&lt;=F45, "Yes", "No"))</f>
        <v>Yes</v>
      </c>
      <c r="F55" s="993" t="s">
        <v>1149</v>
      </c>
      <c r="G55" s="992" t="str">
        <f>IF(LEN(F55)=0, "", IF(F55&lt;=H45, "Yes", "No"))</f>
        <v/>
      </c>
      <c r="H55" s="993" t="s">
        <v>1149</v>
      </c>
      <c r="I55" s="992" t="str">
        <f>IF(LEN(H55)=0, "", IF(H55&lt;=J45, "Yes", "No"))</f>
        <v/>
      </c>
      <c r="J55" s="993" t="s">
        <v>1149</v>
      </c>
      <c r="K55" s="992" t="str">
        <f>IF(LEN(J55)=0, "", IF(J55&lt;=L45, "Yes", "No"))</f>
        <v/>
      </c>
      <c r="L55" s="993" t="s">
        <v>1149</v>
      </c>
      <c r="M55" s="992" t="str">
        <f>IF(LEN(L55)=0, "", IF(L55&lt;=#REF!, "Yes", "No"))</f>
        <v/>
      </c>
    </row>
    <row r="56" spans="2:14" ht="14.25" customHeight="1" x14ac:dyDescent="0.25">
      <c r="C56" s="4" t="s">
        <v>834</v>
      </c>
      <c r="D56" s="993">
        <v>80.777777777777771</v>
      </c>
      <c r="E56" s="992" t="str">
        <f t="shared" ref="E56:G60" si="5">IF(LEN(D56)=0, "", IF(D56&lt;=F46, "Yes", "No"))</f>
        <v>Yes</v>
      </c>
      <c r="F56" s="993" t="s">
        <v>1149</v>
      </c>
      <c r="G56" s="992" t="str">
        <f t="shared" si="5"/>
        <v/>
      </c>
      <c r="H56" s="993" t="s">
        <v>1149</v>
      </c>
      <c r="I56" s="992" t="str">
        <f t="shared" ref="I56" si="6">IF(LEN(H56)=0, "", IF(H56&lt;=J46, "Yes", "No"))</f>
        <v/>
      </c>
      <c r="J56" s="993" t="s">
        <v>1149</v>
      </c>
      <c r="K56" s="992" t="str">
        <f t="shared" ref="K56" si="7">IF(LEN(J56)=0, "", IF(J56&lt;=L46, "Yes", "No"))</f>
        <v/>
      </c>
      <c r="L56" s="993" t="s">
        <v>1149</v>
      </c>
      <c r="M56" s="992" t="str">
        <f>IF(LEN(L56)=0, "", IF(L56&lt;=#REF!, "Yes", "No"))</f>
        <v/>
      </c>
    </row>
    <row r="57" spans="2:14" ht="14.25" customHeight="1" x14ac:dyDescent="0.25">
      <c r="C57" s="4" t="s">
        <v>835</v>
      </c>
      <c r="D57" s="993">
        <v>90</v>
      </c>
      <c r="E57" s="992" t="str">
        <f t="shared" si="5"/>
        <v>Yes</v>
      </c>
      <c r="F57" s="993" t="s">
        <v>1149</v>
      </c>
      <c r="G57" s="992" t="str">
        <f t="shared" si="5"/>
        <v/>
      </c>
      <c r="H57" s="993" t="s">
        <v>1149</v>
      </c>
      <c r="I57" s="992" t="str">
        <f t="shared" ref="I57" si="8">IF(LEN(H57)=0, "", IF(H57&lt;=J47, "Yes", "No"))</f>
        <v/>
      </c>
      <c r="J57" s="993" t="s">
        <v>1149</v>
      </c>
      <c r="K57" s="992" t="str">
        <f t="shared" ref="K57" si="9">IF(LEN(J57)=0, "", IF(J57&lt;=L47, "Yes", "No"))</f>
        <v/>
      </c>
      <c r="L57" s="993" t="s">
        <v>1149</v>
      </c>
      <c r="M57" s="992" t="str">
        <f>IF(LEN(L57)=0, "", IF(L57&lt;=#REF!, "Yes", "No"))</f>
        <v/>
      </c>
    </row>
    <row r="58" spans="2:14" ht="14.25" customHeight="1" x14ac:dyDescent="0.25">
      <c r="C58" s="4" t="s">
        <v>836</v>
      </c>
      <c r="D58" s="993">
        <v>68.571428571428569</v>
      </c>
      <c r="E58" s="992" t="str">
        <f t="shared" si="5"/>
        <v>Yes</v>
      </c>
      <c r="F58" s="993" t="s">
        <v>1149</v>
      </c>
      <c r="G58" s="992" t="str">
        <f t="shared" si="5"/>
        <v/>
      </c>
      <c r="H58" s="993" t="s">
        <v>1149</v>
      </c>
      <c r="I58" s="992" t="str">
        <f t="shared" ref="I58" si="10">IF(LEN(H58)=0, "", IF(H58&lt;=J48, "Yes", "No"))</f>
        <v/>
      </c>
      <c r="J58" s="993" t="s">
        <v>1149</v>
      </c>
      <c r="K58" s="992" t="str">
        <f t="shared" ref="K58" si="11">IF(LEN(J58)=0, "", IF(J58&lt;=L48, "Yes", "No"))</f>
        <v/>
      </c>
      <c r="L58" s="993" t="s">
        <v>1149</v>
      </c>
      <c r="M58" s="992" t="str">
        <f>IF(LEN(L58)=0, "", IF(L58&lt;=#REF!, "Yes", "No"))</f>
        <v/>
      </c>
    </row>
    <row r="59" spans="2:14" ht="14.25" customHeight="1" x14ac:dyDescent="0.25">
      <c r="C59" s="4" t="s">
        <v>837</v>
      </c>
      <c r="D59" s="993">
        <v>84.833333333333329</v>
      </c>
      <c r="E59" s="992" t="str">
        <f t="shared" si="5"/>
        <v>Yes</v>
      </c>
      <c r="F59" s="993" t="s">
        <v>1149</v>
      </c>
      <c r="G59" s="992" t="str">
        <f t="shared" si="5"/>
        <v/>
      </c>
      <c r="H59" s="993" t="s">
        <v>1149</v>
      </c>
      <c r="I59" s="992" t="str">
        <f t="shared" ref="I59" si="12">IF(LEN(H59)=0, "", IF(H59&lt;=J49, "Yes", "No"))</f>
        <v/>
      </c>
      <c r="J59" s="993" t="s">
        <v>1149</v>
      </c>
      <c r="K59" s="992" t="str">
        <f t="shared" ref="K59" si="13">IF(LEN(J59)=0, "", IF(J59&lt;=L49, "Yes", "No"))</f>
        <v/>
      </c>
      <c r="L59" s="993" t="s">
        <v>1149</v>
      </c>
      <c r="M59" s="992" t="str">
        <f>IF(LEN(L59)=0, "", IF(L59&lt;=#REF!, "Yes", "No"))</f>
        <v/>
      </c>
    </row>
    <row r="60" spans="2:14" ht="14.25" customHeight="1" thickBot="1" x14ac:dyDescent="0.3">
      <c r="C60" s="307" t="s">
        <v>838</v>
      </c>
      <c r="D60" s="994">
        <v>80.083333333333329</v>
      </c>
      <c r="E60" s="995" t="str">
        <f t="shared" si="5"/>
        <v>Yes</v>
      </c>
      <c r="F60" s="994" t="s">
        <v>1149</v>
      </c>
      <c r="G60" s="995" t="str">
        <f t="shared" si="5"/>
        <v/>
      </c>
      <c r="H60" s="994" t="s">
        <v>1149</v>
      </c>
      <c r="I60" s="995" t="str">
        <f t="shared" ref="I60" si="14">IF(LEN(H60)=0, "", IF(H60&lt;=J50, "Yes", "No"))</f>
        <v/>
      </c>
      <c r="J60" s="994" t="s">
        <v>1149</v>
      </c>
      <c r="K60" s="995" t="str">
        <f t="shared" ref="K60" si="15">IF(LEN(J60)=0, "", IF(J60&lt;=L50, "Yes", "No"))</f>
        <v/>
      </c>
      <c r="L60" s="994" t="s">
        <v>1149</v>
      </c>
      <c r="M60" s="995" t="str">
        <f>IF(LEN(L60)=0, "", IF(L60&lt;=#REF!, "Yes", "No"))</f>
        <v/>
      </c>
    </row>
    <row r="61" spans="2:14" ht="14.25" customHeight="1" x14ac:dyDescent="0.25">
      <c r="B61" s="656"/>
      <c r="C61" s="656"/>
      <c r="D61" s="894"/>
      <c r="E61" s="894"/>
      <c r="F61" s="894"/>
      <c r="G61" s="894"/>
    </row>
    <row r="62" spans="2:14" ht="14.25" customHeight="1" x14ac:dyDescent="0.25">
      <c r="B62" s="932" t="s">
        <v>856</v>
      </c>
      <c r="C62" s="932"/>
      <c r="E62" s="894"/>
      <c r="F62" s="894"/>
      <c r="G62" s="894"/>
    </row>
    <row r="63" spans="2:14" ht="14.25" customHeight="1" x14ac:dyDescent="0.25">
      <c r="B63" s="1136" t="s">
        <v>867</v>
      </c>
      <c r="C63" s="1136"/>
      <c r="D63" s="1136"/>
      <c r="E63" s="1136"/>
      <c r="F63" s="1136"/>
      <c r="G63" s="1136"/>
      <c r="H63" s="1136"/>
      <c r="I63" s="1136"/>
      <c r="J63" s="1136"/>
      <c r="K63" s="1136"/>
      <c r="L63" s="1136"/>
      <c r="M63" s="1136"/>
      <c r="N63" s="1136"/>
    </row>
    <row r="64" spans="2:14" ht="14.25" customHeight="1" x14ac:dyDescent="0.25">
      <c r="B64" s="346" t="s">
        <v>868</v>
      </c>
      <c r="C64" s="347"/>
      <c r="D64" s="347"/>
      <c r="E64" s="347"/>
      <c r="F64" s="347"/>
      <c r="G64" s="347"/>
      <c r="H64" s="347"/>
      <c r="I64" s="347"/>
      <c r="J64" s="347"/>
      <c r="K64" s="347"/>
      <c r="L64" s="347"/>
      <c r="M64" s="347"/>
      <c r="N64" s="347"/>
    </row>
    <row r="65" spans="2:14" ht="30" customHeight="1" x14ac:dyDescent="0.25">
      <c r="C65" s="27" t="s">
        <v>1086</v>
      </c>
      <c r="D65" s="1275" t="s">
        <v>859</v>
      </c>
      <c r="E65" s="1275"/>
      <c r="F65" s="1275"/>
      <c r="G65" s="1275"/>
    </row>
    <row r="66" spans="2:14" ht="14.25" customHeight="1" x14ac:dyDescent="0.25">
      <c r="C66" s="27">
        <v>2026</v>
      </c>
      <c r="D66" s="1276" t="str">
        <f>D54</f>
        <v>Complies</v>
      </c>
      <c r="E66" s="1276"/>
      <c r="F66" s="1276"/>
      <c r="G66" s="1276"/>
    </row>
    <row r="67" spans="2:14" ht="14.25" customHeight="1" x14ac:dyDescent="0.25">
      <c r="C67" s="27">
        <v>2025</v>
      </c>
      <c r="D67" s="1274" t="s">
        <v>860</v>
      </c>
      <c r="E67" s="1274"/>
      <c r="F67" s="1274"/>
      <c r="G67" s="1274"/>
    </row>
    <row r="68" spans="2:14" ht="14.25" customHeight="1" x14ac:dyDescent="0.25">
      <c r="C68" s="27">
        <v>2024</v>
      </c>
      <c r="D68" s="1274" t="s">
        <v>860</v>
      </c>
      <c r="E68" s="1274"/>
      <c r="F68" s="1274"/>
      <c r="G68" s="1274"/>
    </row>
    <row r="69" spans="2:14" ht="14.25" customHeight="1" x14ac:dyDescent="0.25">
      <c r="B69" s="934"/>
      <c r="C69" s="934"/>
      <c r="D69" s="936"/>
      <c r="E69" s="936"/>
      <c r="F69" s="936"/>
      <c r="G69" s="936"/>
    </row>
    <row r="70" spans="2:14" ht="14.25" customHeight="1" x14ac:dyDescent="0.25">
      <c r="B70" s="932" t="s">
        <v>869</v>
      </c>
      <c r="C70" s="934"/>
    </row>
    <row r="71" spans="2:14" ht="63.75" customHeight="1" x14ac:dyDescent="0.25">
      <c r="B71" s="1136" t="s">
        <v>862</v>
      </c>
      <c r="C71" s="1136"/>
      <c r="D71" s="1136"/>
      <c r="E71" s="1136"/>
      <c r="F71" s="1136"/>
      <c r="G71" s="1136"/>
      <c r="H71" s="1136"/>
      <c r="I71" s="1136"/>
      <c r="J71" s="1136"/>
      <c r="K71" s="1136"/>
      <c r="L71" s="1136"/>
      <c r="M71" s="1136"/>
      <c r="N71" s="1136"/>
    </row>
    <row r="72" spans="2:14" ht="60" customHeight="1" x14ac:dyDescent="0.25">
      <c r="C72" s="1282" t="s">
        <v>1118</v>
      </c>
      <c r="D72" s="1282"/>
      <c r="E72" s="1282"/>
      <c r="F72" s="1282"/>
      <c r="G72" s="1282"/>
      <c r="H72" s="1282"/>
      <c r="I72" s="1282"/>
      <c r="J72" s="1282"/>
      <c r="K72" s="1282"/>
      <c r="L72" s="1282"/>
      <c r="M72" s="1282"/>
    </row>
    <row r="73" spans="2:14" ht="14.25" customHeight="1" x14ac:dyDescent="0.25"/>
    <row r="74" spans="2:14" ht="23.45" customHeight="1" x14ac:dyDescent="0.25">
      <c r="B74" s="1270" t="s">
        <v>870</v>
      </c>
      <c r="C74" s="1271"/>
      <c r="D74" s="1271"/>
      <c r="E74" s="1271"/>
      <c r="F74" s="1271"/>
      <c r="G74" s="1271"/>
      <c r="H74" s="1271"/>
      <c r="I74" s="1271"/>
      <c r="J74" s="1271"/>
      <c r="K74" s="1271"/>
      <c r="L74" s="1271"/>
      <c r="M74" s="1271"/>
      <c r="N74" s="1271"/>
    </row>
    <row r="75" spans="2:14" ht="42" customHeight="1" x14ac:dyDescent="0.25">
      <c r="B75" s="1283" t="s">
        <v>871</v>
      </c>
      <c r="C75" s="1283"/>
      <c r="D75" s="1283"/>
      <c r="E75" s="1283"/>
      <c r="F75" s="1283"/>
      <c r="G75" s="1283"/>
      <c r="H75" s="1283"/>
      <c r="I75" s="1283"/>
      <c r="J75" s="1283"/>
      <c r="K75" s="1283"/>
      <c r="L75" s="1283"/>
      <c r="M75" s="1283"/>
      <c r="N75" s="1283"/>
    </row>
    <row r="76" spans="2:14" ht="53.25" customHeight="1" x14ac:dyDescent="0.25">
      <c r="B76" s="1136" t="s">
        <v>1088</v>
      </c>
      <c r="C76" s="1136"/>
      <c r="D76" s="1136"/>
      <c r="E76" s="1136"/>
      <c r="F76" s="1136"/>
      <c r="G76" s="1136"/>
      <c r="H76" s="1136"/>
      <c r="I76" s="1136"/>
      <c r="J76" s="1136"/>
      <c r="K76" s="1136"/>
      <c r="L76" s="1136"/>
      <c r="M76" s="1136"/>
      <c r="N76" s="1136"/>
    </row>
    <row r="77" spans="2:14" ht="15" x14ac:dyDescent="0.25">
      <c r="B77" s="346" t="s">
        <v>872</v>
      </c>
      <c r="C77" s="883"/>
      <c r="D77" s="883"/>
      <c r="E77" s="883"/>
      <c r="F77" s="883"/>
      <c r="G77" s="883"/>
      <c r="H77" s="883"/>
      <c r="I77" s="883"/>
      <c r="J77" s="883"/>
      <c r="K77" s="883"/>
      <c r="L77" s="883"/>
      <c r="M77" s="883"/>
    </row>
    <row r="78" spans="2:14" ht="63" customHeight="1" x14ac:dyDescent="0.25">
      <c r="C78" s="1"/>
      <c r="D78" s="895" t="s">
        <v>820</v>
      </c>
      <c r="E78" s="882" t="s">
        <v>873</v>
      </c>
      <c r="F78" s="882" t="s">
        <v>822</v>
      </c>
      <c r="G78" s="882" t="s">
        <v>874</v>
      </c>
      <c r="H78" s="895" t="s">
        <v>875</v>
      </c>
      <c r="I78" s="1"/>
      <c r="J78" s="1"/>
      <c r="K78" s="1"/>
      <c r="L78" s="1"/>
      <c r="M78" s="1"/>
    </row>
    <row r="79" spans="2:14" ht="14.25" customHeight="1" x14ac:dyDescent="0.25">
      <c r="C79" s="368" t="s">
        <v>876</v>
      </c>
      <c r="D79" s="996">
        <v>0.99</v>
      </c>
      <c r="E79" s="996">
        <v>0.98</v>
      </c>
      <c r="F79" s="996">
        <v>0.97</v>
      </c>
      <c r="G79" s="996">
        <v>0.96</v>
      </c>
      <c r="H79" s="997">
        <v>1000000</v>
      </c>
      <c r="I79" s="1"/>
      <c r="J79" s="1"/>
      <c r="K79" s="1"/>
      <c r="L79" s="1"/>
      <c r="M79" s="1"/>
    </row>
    <row r="80" spans="2:14" ht="14.25" customHeight="1" thickBot="1" x14ac:dyDescent="0.3">
      <c r="B80" s="656"/>
      <c r="C80" s="1"/>
      <c r="D80" s="998"/>
      <c r="E80" s="998"/>
      <c r="F80" s="999"/>
      <c r="G80" s="1"/>
      <c r="H80" s="1"/>
      <c r="I80" s="1"/>
      <c r="J80" s="1"/>
      <c r="K80" s="1"/>
      <c r="L80" s="1"/>
      <c r="M80" s="1"/>
    </row>
    <row r="81" spans="2:14" ht="14.25" customHeight="1" thickBot="1" x14ac:dyDescent="0.3">
      <c r="B81" s="346" t="s">
        <v>877</v>
      </c>
      <c r="C81" s="998"/>
      <c r="D81" s="983">
        <v>2026</v>
      </c>
      <c r="E81" s="984"/>
      <c r="F81" s="983">
        <v>2027</v>
      </c>
      <c r="G81" s="985"/>
      <c r="H81" s="983">
        <v>2028</v>
      </c>
      <c r="I81" s="984"/>
      <c r="J81" s="983">
        <v>2029</v>
      </c>
      <c r="K81" s="984"/>
      <c r="L81" s="983">
        <v>2030</v>
      </c>
      <c r="M81" s="985"/>
    </row>
    <row r="82" spans="2:14" ht="52.5" customHeight="1" x14ac:dyDescent="0.25">
      <c r="B82" s="656"/>
      <c r="C82" s="1"/>
      <c r="D82" s="1000" t="s">
        <v>824</v>
      </c>
      <c r="E82" s="1001" t="s">
        <v>878</v>
      </c>
      <c r="F82" s="1002" t="s">
        <v>824</v>
      </c>
      <c r="G82" s="1001" t="s">
        <v>878</v>
      </c>
      <c r="H82" s="1002" t="s">
        <v>824</v>
      </c>
      <c r="I82" s="1001" t="s">
        <v>878</v>
      </c>
      <c r="J82" s="1002" t="s">
        <v>824</v>
      </c>
      <c r="K82" s="1001" t="s">
        <v>878</v>
      </c>
      <c r="L82" s="1002" t="s">
        <v>824</v>
      </c>
      <c r="M82" s="1001" t="s">
        <v>878</v>
      </c>
    </row>
    <row r="83" spans="2:14" ht="14.25" customHeight="1" thickBot="1" x14ac:dyDescent="0.3">
      <c r="C83" s="898" t="s">
        <v>876</v>
      </c>
      <c r="D83" s="1003">
        <v>0.98219999999999996</v>
      </c>
      <c r="E83" s="995" t="str">
        <f>IF(LEN(D83)=0, "", IF(D83&gt;=$G79, "Yes", "No"))</f>
        <v>Yes</v>
      </c>
      <c r="F83" s="1004" t="s">
        <v>1149</v>
      </c>
      <c r="G83" s="995" t="str">
        <f>IF(LEN(F83)=0, "", IF(F83&gt;=$G79, "Yes", "No"))</f>
        <v/>
      </c>
      <c r="H83" s="1004" t="s">
        <v>1149</v>
      </c>
      <c r="I83" s="995" t="str">
        <f>IF(LEN(H83)=0, "", IF(H83&gt;=$G79, "Yes", "No"))</f>
        <v/>
      </c>
      <c r="J83" s="1004" t="s">
        <v>1149</v>
      </c>
      <c r="K83" s="995" t="str">
        <f>IF(LEN(J83)=0, "", IF(J83&gt;=$G79, "Yes", "No"))</f>
        <v/>
      </c>
      <c r="L83" s="1004" t="s">
        <v>1149</v>
      </c>
      <c r="M83" s="995" t="str">
        <f>IF(LEN(L83)=0, "", IF(L83&gt;=$G79, "Yes", "No"))</f>
        <v/>
      </c>
    </row>
    <row r="84" spans="2:14" ht="14.25" customHeight="1" x14ac:dyDescent="0.25">
      <c r="B84" s="656"/>
      <c r="D84" s="945"/>
      <c r="E84" s="894"/>
      <c r="F84" s="894"/>
    </row>
    <row r="85" spans="2:14" ht="14.25" customHeight="1" x14ac:dyDescent="0.25">
      <c r="B85" s="932" t="s">
        <v>879</v>
      </c>
      <c r="C85" s="934"/>
    </row>
    <row r="86" spans="2:14" ht="46.5" customHeight="1" x14ac:dyDescent="0.25">
      <c r="B86" s="1136" t="s">
        <v>862</v>
      </c>
      <c r="C86" s="1136"/>
      <c r="D86" s="1136"/>
      <c r="E86" s="1136"/>
      <c r="F86" s="1136"/>
      <c r="G86" s="1136"/>
      <c r="H86" s="1136"/>
      <c r="I86" s="1136"/>
      <c r="J86" s="1136"/>
      <c r="K86" s="1136"/>
      <c r="L86" s="1136"/>
      <c r="M86" s="1136"/>
      <c r="N86" s="1136"/>
    </row>
    <row r="87" spans="2:14" ht="75.75" customHeight="1" x14ac:dyDescent="0.25">
      <c r="C87" s="1281" t="s">
        <v>1112</v>
      </c>
      <c r="D87" s="1281"/>
      <c r="E87" s="1281"/>
      <c r="F87" s="1281"/>
      <c r="G87" s="1281"/>
      <c r="H87" s="1281"/>
      <c r="I87" s="1281"/>
      <c r="J87" s="1281"/>
      <c r="K87" s="1281"/>
      <c r="L87" s="1281"/>
      <c r="M87" s="1281"/>
    </row>
    <row r="88" spans="2:14" ht="14.25" customHeight="1" x14ac:dyDescent="0.25">
      <c r="B88" s="656"/>
      <c r="C88" s="656"/>
      <c r="D88" s="894"/>
      <c r="E88" s="894"/>
      <c r="F88" s="894"/>
      <c r="G88" s="894"/>
    </row>
    <row r="89" spans="2:14" ht="14.25" customHeight="1" x14ac:dyDescent="0.25">
      <c r="B89" s="1270" t="s">
        <v>880</v>
      </c>
      <c r="C89" s="1271"/>
      <c r="D89" s="1271"/>
      <c r="E89" s="1271"/>
      <c r="F89" s="1271"/>
      <c r="G89" s="1271"/>
      <c r="H89" s="1271"/>
      <c r="I89" s="1271"/>
      <c r="J89" s="1271"/>
      <c r="K89" s="1271"/>
      <c r="L89" s="1271"/>
      <c r="M89" s="1271"/>
      <c r="N89" s="1271"/>
    </row>
    <row r="90" spans="2:14" ht="35.25" customHeight="1" x14ac:dyDescent="0.25">
      <c r="B90" s="1196" t="s">
        <v>881</v>
      </c>
      <c r="C90" s="1196"/>
      <c r="D90" s="1196"/>
      <c r="E90" s="1196"/>
      <c r="F90" s="1196"/>
      <c r="G90" s="1196"/>
      <c r="H90" s="1196"/>
      <c r="I90" s="1196"/>
      <c r="J90" s="1196"/>
      <c r="K90" s="1196"/>
      <c r="L90" s="1196"/>
      <c r="M90" s="1196"/>
    </row>
    <row r="91" spans="2:14" ht="58.5" customHeight="1" x14ac:dyDescent="0.25">
      <c r="B91" s="1136" t="s">
        <v>882</v>
      </c>
      <c r="C91" s="1136"/>
      <c r="D91" s="1136"/>
      <c r="E91" s="1136"/>
      <c r="F91" s="1136"/>
      <c r="G91" s="1136"/>
      <c r="H91" s="1136"/>
      <c r="I91" s="1136"/>
      <c r="J91" s="1136"/>
      <c r="K91" s="1136"/>
      <c r="L91" s="1136"/>
      <c r="M91" s="1136"/>
      <c r="N91" s="1136"/>
    </row>
    <row r="92" spans="2:14" ht="15" x14ac:dyDescent="0.25">
      <c r="B92" s="346" t="s">
        <v>883</v>
      </c>
      <c r="C92" s="883"/>
      <c r="D92" s="883"/>
      <c r="E92" s="883"/>
      <c r="F92" s="883"/>
      <c r="G92" s="883"/>
      <c r="H92" s="883"/>
      <c r="I92" s="883"/>
      <c r="J92" s="883"/>
      <c r="K92" s="883"/>
      <c r="L92" s="883"/>
      <c r="M92" s="883"/>
    </row>
    <row r="93" spans="2:14" ht="59.25" customHeight="1" x14ac:dyDescent="0.25">
      <c r="D93" s="892" t="s">
        <v>820</v>
      </c>
      <c r="E93" s="893" t="s">
        <v>873</v>
      </c>
      <c r="F93" s="893" t="s">
        <v>822</v>
      </c>
      <c r="G93" s="893" t="s">
        <v>874</v>
      </c>
      <c r="H93" s="892" t="s">
        <v>875</v>
      </c>
    </row>
    <row r="94" spans="2:14" ht="14.25" customHeight="1" x14ac:dyDescent="0.25">
      <c r="C94" s="933" t="s">
        <v>884</v>
      </c>
      <c r="D94" s="937">
        <v>0.98619999999999997</v>
      </c>
      <c r="E94" s="937">
        <v>0.98250000000000004</v>
      </c>
      <c r="F94" s="937">
        <v>0.97870000000000001</v>
      </c>
      <c r="G94" s="937">
        <v>0.97250000000000003</v>
      </c>
      <c r="H94" s="938">
        <v>5320564</v>
      </c>
    </row>
    <row r="95" spans="2:14" ht="14.25" customHeight="1" thickBot="1" x14ac:dyDescent="0.3">
      <c r="B95" s="656"/>
      <c r="C95"/>
      <c r="D95" s="939"/>
      <c r="E95" s="939"/>
      <c r="F95" s="939"/>
    </row>
    <row r="96" spans="2:14" ht="14.25" customHeight="1" thickBot="1" x14ac:dyDescent="0.3">
      <c r="B96" s="346" t="s">
        <v>885</v>
      </c>
      <c r="D96" s="924">
        <v>2026</v>
      </c>
      <c r="E96" s="925"/>
      <c r="F96" s="924">
        <v>2027</v>
      </c>
      <c r="G96" s="926"/>
      <c r="H96" s="924">
        <v>2028</v>
      </c>
      <c r="I96" s="925"/>
      <c r="J96" s="924">
        <v>2029</v>
      </c>
      <c r="K96" s="925"/>
      <c r="L96" s="924">
        <v>2030</v>
      </c>
      <c r="M96" s="926"/>
    </row>
    <row r="97" spans="2:14" ht="52.5" customHeight="1" x14ac:dyDescent="0.25">
      <c r="C97" s="656"/>
      <c r="D97" s="940" t="s">
        <v>824</v>
      </c>
      <c r="E97" s="941" t="s">
        <v>878</v>
      </c>
      <c r="F97" s="942" t="s">
        <v>824</v>
      </c>
      <c r="G97" s="941" t="s">
        <v>878</v>
      </c>
      <c r="H97" s="942" t="s">
        <v>824</v>
      </c>
      <c r="I97" s="941" t="s">
        <v>878</v>
      </c>
      <c r="J97" s="942" t="s">
        <v>824</v>
      </c>
      <c r="K97" s="941" t="s">
        <v>878</v>
      </c>
      <c r="L97" s="942" t="s">
        <v>824</v>
      </c>
      <c r="M97" s="941" t="s">
        <v>878</v>
      </c>
    </row>
    <row r="98" spans="2:14" ht="14.25" customHeight="1" thickBot="1" x14ac:dyDescent="0.3">
      <c r="C98" s="654" t="s">
        <v>884</v>
      </c>
      <c r="D98" s="943">
        <v>0.98499999999999999</v>
      </c>
      <c r="E98" s="931" t="str">
        <f>IF(LEN(D98)=0, "", IF(D98&gt;=$G94, "Yes", "No"))</f>
        <v>Yes</v>
      </c>
      <c r="F98" s="944" t="s">
        <v>1149</v>
      </c>
      <c r="G98" s="931" t="str">
        <f>IF(LEN(F98)=0, "", IF(F98&gt;=$G94, "Yes", "No"))</f>
        <v/>
      </c>
      <c r="H98" s="944" t="s">
        <v>1149</v>
      </c>
      <c r="I98" s="931" t="str">
        <f>IF(LEN(H98)=0, "", IF(H98&gt;=$G94, "Yes", "No"))</f>
        <v/>
      </c>
      <c r="J98" s="944" t="s">
        <v>1149</v>
      </c>
      <c r="K98" s="931" t="str">
        <f>IF(LEN(J98)=0, "", IF(J98&gt;=$G94, "Yes", "No"))</f>
        <v/>
      </c>
      <c r="L98" s="944" t="s">
        <v>1149</v>
      </c>
      <c r="M98" s="931" t="str">
        <f>IF(LEN(L98)=0, "", IF(L98&gt;=$G94, "Yes", "No"))</f>
        <v/>
      </c>
    </row>
    <row r="99" spans="2:14" ht="14.25" customHeight="1" x14ac:dyDescent="0.25">
      <c r="B99" s="656"/>
      <c r="E99" s="894"/>
      <c r="F99" s="894"/>
    </row>
    <row r="100" spans="2:14" ht="14.25" customHeight="1" x14ac:dyDescent="0.25">
      <c r="B100" s="932" t="s">
        <v>886</v>
      </c>
      <c r="C100" s="934"/>
      <c r="D100" s="945"/>
    </row>
    <row r="101" spans="2:14" ht="54.75" customHeight="1" x14ac:dyDescent="0.25">
      <c r="B101" s="1136" t="s">
        <v>862</v>
      </c>
      <c r="C101" s="1136"/>
      <c r="D101" s="1136"/>
      <c r="E101" s="1136"/>
      <c r="F101" s="1136"/>
      <c r="G101" s="1136"/>
      <c r="H101" s="1136"/>
      <c r="I101" s="1136"/>
      <c r="J101" s="1136"/>
      <c r="K101" s="1136"/>
      <c r="L101" s="1136"/>
      <c r="M101" s="1136"/>
      <c r="N101" s="1136"/>
    </row>
    <row r="102" spans="2:14" ht="96.75" customHeight="1" x14ac:dyDescent="0.25">
      <c r="C102" s="1281" t="s">
        <v>887</v>
      </c>
      <c r="D102" s="1281"/>
      <c r="E102" s="1281"/>
      <c r="F102" s="1281"/>
      <c r="G102" s="1281"/>
      <c r="H102" s="1281"/>
      <c r="I102" s="1281"/>
      <c r="J102" s="1281"/>
      <c r="K102" s="1281"/>
      <c r="L102" s="1281"/>
      <c r="M102" s="1281"/>
    </row>
    <row r="103" spans="2:14" ht="14.25" customHeight="1" x14ac:dyDescent="0.25">
      <c r="B103" s="245"/>
      <c r="C103" s="894"/>
      <c r="D103" s="894"/>
      <c r="E103" s="894"/>
      <c r="F103" s="894"/>
    </row>
    <row r="104" spans="2:14" ht="14.25" customHeight="1" x14ac:dyDescent="0.25">
      <c r="B104" s="1270" t="s">
        <v>888</v>
      </c>
      <c r="C104" s="1271"/>
      <c r="D104" s="1271"/>
      <c r="E104" s="1271"/>
      <c r="F104" s="1271"/>
      <c r="G104" s="1271"/>
      <c r="H104" s="1271"/>
      <c r="I104" s="1271"/>
      <c r="J104" s="1271"/>
      <c r="K104" s="1271"/>
      <c r="L104" s="1271"/>
      <c r="M104" s="1271"/>
      <c r="N104" s="1271"/>
    </row>
    <row r="105" spans="2:14" ht="31.5" customHeight="1" x14ac:dyDescent="0.25">
      <c r="B105" s="1196" t="s">
        <v>1089</v>
      </c>
      <c r="C105" s="1196"/>
      <c r="D105" s="1196"/>
      <c r="E105" s="1196"/>
      <c r="F105" s="1196"/>
      <c r="G105" s="1196"/>
      <c r="H105" s="1196"/>
      <c r="I105" s="1196"/>
      <c r="J105" s="1196"/>
      <c r="K105" s="1196"/>
      <c r="L105" s="1196"/>
      <c r="M105" s="1196"/>
    </row>
    <row r="106" spans="2:14" ht="180" customHeight="1" x14ac:dyDescent="0.25">
      <c r="B106" s="1136" t="s">
        <v>889</v>
      </c>
      <c r="C106" s="1136"/>
      <c r="D106" s="1136"/>
      <c r="E106" s="1136"/>
      <c r="F106" s="1136"/>
      <c r="G106" s="1136"/>
      <c r="H106" s="1136"/>
      <c r="I106" s="1136"/>
      <c r="J106" s="1136"/>
      <c r="K106" s="1136"/>
      <c r="L106" s="1136"/>
      <c r="M106" s="1136"/>
      <c r="N106" s="1136"/>
    </row>
    <row r="107" spans="2:14" ht="14.25" thickBot="1" x14ac:dyDescent="0.3"/>
    <row r="108" spans="2:14" ht="15.75" thickBot="1" x14ac:dyDescent="0.3">
      <c r="B108" s="346" t="s">
        <v>890</v>
      </c>
      <c r="D108" s="946" t="s">
        <v>891</v>
      </c>
      <c r="E108" s="947"/>
      <c r="F108" s="947"/>
      <c r="G108" s="947"/>
      <c r="H108" s="948"/>
    </row>
    <row r="109" spans="2:14" x14ac:dyDescent="0.25">
      <c r="C109" s="949" t="s">
        <v>819</v>
      </c>
      <c r="D109" s="950">
        <v>2026</v>
      </c>
      <c r="E109" s="951">
        <v>2027</v>
      </c>
      <c r="F109" s="951">
        <v>2028</v>
      </c>
      <c r="G109" s="951">
        <v>2029</v>
      </c>
      <c r="H109" s="952">
        <v>2030</v>
      </c>
    </row>
    <row r="110" spans="2:14" x14ac:dyDescent="0.25">
      <c r="C110" s="953" t="s">
        <v>892</v>
      </c>
      <c r="D110" s="954">
        <v>4.2599999999999999E-2</v>
      </c>
      <c r="E110" s="955">
        <v>3.5099999999999999E-2</v>
      </c>
      <c r="F110" s="955">
        <v>3.9E-2</v>
      </c>
      <c r="G110" s="955">
        <v>4.0399999999999998E-2</v>
      </c>
      <c r="H110" s="956">
        <v>3.9899999999999998E-2</v>
      </c>
    </row>
    <row r="111" spans="2:14" x14ac:dyDescent="0.25">
      <c r="C111" s="957" t="s">
        <v>893</v>
      </c>
      <c r="D111" s="958">
        <v>0.13980000000000001</v>
      </c>
      <c r="E111" s="959">
        <v>0.15890000000000001</v>
      </c>
      <c r="F111" s="959">
        <v>0.1779</v>
      </c>
      <c r="G111" s="959">
        <v>0.20019999999999999</v>
      </c>
      <c r="H111" s="960">
        <v>0.22090000000000001</v>
      </c>
    </row>
    <row r="112" spans="2:14" x14ac:dyDescent="0.25">
      <c r="C112" s="957" t="s">
        <v>894</v>
      </c>
      <c r="D112" s="958">
        <v>2.7900000000000001E-2</v>
      </c>
      <c r="E112" s="959">
        <v>3.1399999999999997E-2</v>
      </c>
      <c r="F112" s="959">
        <v>3.85E-2</v>
      </c>
      <c r="G112" s="959">
        <v>4.7600000000000003E-2</v>
      </c>
      <c r="H112" s="960">
        <v>5.9799999999999999E-2</v>
      </c>
    </row>
    <row r="113" spans="1:14" x14ac:dyDescent="0.25">
      <c r="C113" s="957" t="s">
        <v>895</v>
      </c>
      <c r="D113" s="958">
        <v>1.7600000000000001E-2</v>
      </c>
      <c r="E113" s="959">
        <v>1.9699999999999999E-2</v>
      </c>
      <c r="F113" s="959">
        <v>2.18E-2</v>
      </c>
      <c r="G113" s="959">
        <v>2.3699999999999999E-2</v>
      </c>
      <c r="H113" s="960">
        <v>2.6100000000000002E-2</v>
      </c>
    </row>
    <row r="114" spans="1:14" x14ac:dyDescent="0.25">
      <c r="C114" s="957" t="s">
        <v>896</v>
      </c>
      <c r="D114" s="958">
        <v>7.5600000000000001E-2</v>
      </c>
      <c r="E114" s="959">
        <v>6.9199999999999998E-2</v>
      </c>
      <c r="F114" s="959">
        <v>6.3700000000000007E-2</v>
      </c>
      <c r="G114" s="959">
        <v>8.1199999999999994E-2</v>
      </c>
      <c r="H114" s="960">
        <v>8.6099999999999996E-2</v>
      </c>
    </row>
    <row r="115" spans="1:14" x14ac:dyDescent="0.25">
      <c r="C115" s="957" t="s">
        <v>897</v>
      </c>
      <c r="D115" s="958">
        <v>5.1700000000000003E-2</v>
      </c>
      <c r="E115" s="959">
        <v>9.1499999999999998E-2</v>
      </c>
      <c r="F115" s="959">
        <v>0.1153</v>
      </c>
      <c r="G115" s="959">
        <v>0.12180000000000001</v>
      </c>
      <c r="H115" s="960">
        <v>0.13350000000000001</v>
      </c>
    </row>
    <row r="116" spans="1:14" ht="14.25" thickBot="1" x14ac:dyDescent="0.3">
      <c r="C116" s="961" t="s">
        <v>898</v>
      </c>
      <c r="D116" s="962">
        <v>1.24E-2</v>
      </c>
      <c r="E116" s="963">
        <v>1.4500000000000001E-2</v>
      </c>
      <c r="F116" s="963">
        <v>2.46E-2</v>
      </c>
      <c r="G116" s="963">
        <v>3.1899999999999998E-2</v>
      </c>
      <c r="H116" s="964">
        <v>4.2700000000000002E-2</v>
      </c>
    </row>
    <row r="117" spans="1:14" ht="14.25" thickBot="1" x14ac:dyDescent="0.3">
      <c r="B117" s="656"/>
      <c r="C117" s="965"/>
      <c r="G117" s="966"/>
    </row>
    <row r="118" spans="1:14" ht="15.75" thickBot="1" x14ac:dyDescent="0.3">
      <c r="B118" s="346" t="s">
        <v>899</v>
      </c>
      <c r="D118" s="924">
        <v>2026</v>
      </c>
      <c r="E118" s="925"/>
      <c r="F118" s="924">
        <v>2027</v>
      </c>
      <c r="G118" s="926"/>
      <c r="H118" s="924">
        <v>2028</v>
      </c>
      <c r="I118" s="925"/>
      <c r="J118" s="924">
        <v>2029</v>
      </c>
      <c r="K118" s="925"/>
      <c r="L118" s="924">
        <v>2030</v>
      </c>
      <c r="M118" s="926"/>
      <c r="N118" s="967"/>
    </row>
    <row r="119" spans="1:14" ht="60.6" customHeight="1" x14ac:dyDescent="0.25">
      <c r="C119" s="968" t="s">
        <v>819</v>
      </c>
      <c r="D119" s="969" t="s">
        <v>824</v>
      </c>
      <c r="E119" s="927" t="s">
        <v>1111</v>
      </c>
      <c r="F119" s="928" t="s">
        <v>824</v>
      </c>
      <c r="G119" s="927" t="s">
        <v>1111</v>
      </c>
      <c r="H119" s="928" t="s">
        <v>824</v>
      </c>
      <c r="I119" s="927" t="s">
        <v>1111</v>
      </c>
      <c r="J119" s="928" t="s">
        <v>824</v>
      </c>
      <c r="K119" s="927" t="s">
        <v>1111</v>
      </c>
      <c r="L119" s="928" t="s">
        <v>824</v>
      </c>
      <c r="M119" s="927" t="s">
        <v>1111</v>
      </c>
    </row>
    <row r="120" spans="1:14" s="1" customFormat="1" ht="15" x14ac:dyDescent="0.25">
      <c r="A120" s="427"/>
      <c r="C120" s="970" t="s">
        <v>900</v>
      </c>
      <c r="D120" s="971"/>
      <c r="E120" s="929"/>
      <c r="F120" s="971" t="str">
        <f>IF(COUNTIF(G121:G127,"?*")=0, "", IF(COUNTIF(G121:G127, "Yes")&gt;=4, "Complies", "Non Compliant"))</f>
        <v/>
      </c>
      <c r="G120" s="929"/>
      <c r="H120" s="971" t="str">
        <f>IF(COUNTIF(I121:I127,"?*")=0, "", IF(COUNTIF(I121:I127, "Yes")&gt;=4, "Complies", "Non Compliant"))</f>
        <v/>
      </c>
      <c r="I120" s="929"/>
      <c r="J120" s="971" t="str">
        <f>IF(COUNTIF(K121:K127,"?*")=0, "", IF(COUNTIF(K121:K127, "Yes")&gt;=4, "Complies", "Non Compliant"))</f>
        <v/>
      </c>
      <c r="K120" s="929"/>
      <c r="L120" s="971" t="str">
        <f>IF(COUNTIF(M121:M127,"?*")=0, "", IF(COUNTIF(M121:M127, "Yes")&gt;=4, "Complies", "Non Compliant"))</f>
        <v/>
      </c>
      <c r="M120" s="929"/>
    </row>
    <row r="121" spans="1:14" s="1" customFormat="1" ht="15" x14ac:dyDescent="0.25">
      <c r="A121" s="427"/>
      <c r="C121" s="970" t="s">
        <v>892</v>
      </c>
      <c r="D121" s="972">
        <v>5.8400000000000001E-2</v>
      </c>
      <c r="E121" s="930" t="str">
        <f>IF(LEN(D121)=0, "", IF(D121&lt;=D110, "Yes", "No"))</f>
        <v>No</v>
      </c>
      <c r="F121" s="972" t="s">
        <v>1149</v>
      </c>
      <c r="G121" s="930" t="str">
        <f t="shared" ref="G121:G127" si="16">IF(LEN(F121)=0, "", IF(F121&lt;=E110, "Yes", "No"))</f>
        <v/>
      </c>
      <c r="H121" s="972" t="s">
        <v>1149</v>
      </c>
      <c r="I121" s="930" t="str">
        <f t="shared" ref="I121:I127" si="17">IF(LEN(H121)=0, "", IF(H121&lt;=F110, "Yes", "No"))</f>
        <v/>
      </c>
      <c r="J121" s="972" t="s">
        <v>1149</v>
      </c>
      <c r="K121" s="930" t="str">
        <f t="shared" ref="K121:K127" si="18">IF(LEN(J121)=0, "", IF(J121&lt;=G110, "Yes", "No"))</f>
        <v/>
      </c>
      <c r="L121" s="972" t="s">
        <v>1149</v>
      </c>
      <c r="M121" s="930" t="str">
        <f t="shared" ref="M121:M127" si="19">IF(LEN(L121)=0, "", IF(L121&lt;=H110, "Yes", "No"))</f>
        <v/>
      </c>
    </row>
    <row r="122" spans="1:14" s="1" customFormat="1" ht="15" x14ac:dyDescent="0.25">
      <c r="A122" s="427"/>
      <c r="C122" s="973" t="s">
        <v>893</v>
      </c>
      <c r="D122" s="972">
        <v>9.11E-2</v>
      </c>
      <c r="E122" s="930" t="str">
        <f t="shared" ref="E122:E127" si="20">IF(LEN(D122)=0, "", IF(D122&lt;=D111, "Yes", "No"))</f>
        <v>Yes</v>
      </c>
      <c r="F122" s="972" t="s">
        <v>1149</v>
      </c>
      <c r="G122" s="930" t="str">
        <f t="shared" si="16"/>
        <v/>
      </c>
      <c r="H122" s="972" t="s">
        <v>1149</v>
      </c>
      <c r="I122" s="930" t="str">
        <f t="shared" si="17"/>
        <v/>
      </c>
      <c r="J122" s="972" t="s">
        <v>1149</v>
      </c>
      <c r="K122" s="930" t="str">
        <f t="shared" si="18"/>
        <v/>
      </c>
      <c r="L122" s="972" t="s">
        <v>1149</v>
      </c>
      <c r="M122" s="930" t="str">
        <f t="shared" si="19"/>
        <v/>
      </c>
    </row>
    <row r="123" spans="1:14" s="1" customFormat="1" ht="15" x14ac:dyDescent="0.25">
      <c r="A123" s="427"/>
      <c r="C123" s="973" t="s">
        <v>894</v>
      </c>
      <c r="D123" s="972">
        <v>1.8800000000000001E-2</v>
      </c>
      <c r="E123" s="930" t="str">
        <f t="shared" si="20"/>
        <v>Yes</v>
      </c>
      <c r="F123" s="972" t="s">
        <v>1149</v>
      </c>
      <c r="G123" s="930" t="str">
        <f t="shared" si="16"/>
        <v/>
      </c>
      <c r="H123" s="972" t="s">
        <v>1149</v>
      </c>
      <c r="I123" s="930" t="str">
        <f t="shared" si="17"/>
        <v/>
      </c>
      <c r="J123" s="972" t="s">
        <v>1149</v>
      </c>
      <c r="K123" s="930" t="str">
        <f t="shared" si="18"/>
        <v/>
      </c>
      <c r="L123" s="972" t="s">
        <v>1149</v>
      </c>
      <c r="M123" s="930" t="str">
        <f t="shared" si="19"/>
        <v/>
      </c>
    </row>
    <row r="124" spans="1:14" s="1" customFormat="1" ht="15" x14ac:dyDescent="0.25">
      <c r="A124" s="427"/>
      <c r="C124" s="973" t="s">
        <v>895</v>
      </c>
      <c r="D124" s="972">
        <v>2.3599999999999999E-2</v>
      </c>
      <c r="E124" s="930" t="str">
        <f t="shared" si="20"/>
        <v>No</v>
      </c>
      <c r="F124" s="972" t="s">
        <v>1149</v>
      </c>
      <c r="G124" s="930" t="str">
        <f t="shared" si="16"/>
        <v/>
      </c>
      <c r="H124" s="972" t="s">
        <v>1149</v>
      </c>
      <c r="I124" s="930" t="str">
        <f t="shared" si="17"/>
        <v/>
      </c>
      <c r="J124" s="972" t="s">
        <v>1149</v>
      </c>
      <c r="K124" s="930" t="str">
        <f t="shared" si="18"/>
        <v/>
      </c>
      <c r="L124" s="972" t="s">
        <v>1149</v>
      </c>
      <c r="M124" s="930" t="str">
        <f t="shared" si="19"/>
        <v/>
      </c>
    </row>
    <row r="125" spans="1:14" x14ac:dyDescent="0.25">
      <c r="C125" s="973" t="s">
        <v>896</v>
      </c>
      <c r="D125" s="972">
        <v>7.8200000000000006E-2</v>
      </c>
      <c r="E125" s="930" t="str">
        <f t="shared" si="20"/>
        <v>No</v>
      </c>
      <c r="F125" s="972" t="s">
        <v>1149</v>
      </c>
      <c r="G125" s="930" t="str">
        <f t="shared" si="16"/>
        <v/>
      </c>
      <c r="H125" s="972" t="s">
        <v>1149</v>
      </c>
      <c r="I125" s="930" t="str">
        <f t="shared" si="17"/>
        <v/>
      </c>
      <c r="J125" s="972" t="s">
        <v>1149</v>
      </c>
      <c r="K125" s="930" t="str">
        <f t="shared" si="18"/>
        <v/>
      </c>
      <c r="L125" s="972" t="s">
        <v>1149</v>
      </c>
      <c r="M125" s="930" t="str">
        <f t="shared" si="19"/>
        <v/>
      </c>
    </row>
    <row r="126" spans="1:14" x14ac:dyDescent="0.25">
      <c r="C126" s="973" t="s">
        <v>901</v>
      </c>
      <c r="D126" s="972">
        <v>3.8300000000000001E-2</v>
      </c>
      <c r="E126" s="930" t="str">
        <f t="shared" si="20"/>
        <v>Yes</v>
      </c>
      <c r="F126" s="972" t="s">
        <v>1149</v>
      </c>
      <c r="G126" s="930" t="str">
        <f t="shared" si="16"/>
        <v/>
      </c>
      <c r="H126" s="972" t="s">
        <v>1149</v>
      </c>
      <c r="I126" s="930" t="str">
        <f t="shared" si="17"/>
        <v/>
      </c>
      <c r="J126" s="972" t="s">
        <v>1149</v>
      </c>
      <c r="K126" s="930" t="str">
        <f t="shared" si="18"/>
        <v/>
      </c>
      <c r="L126" s="972" t="s">
        <v>1149</v>
      </c>
      <c r="M126" s="930" t="str">
        <f t="shared" si="19"/>
        <v/>
      </c>
    </row>
    <row r="127" spans="1:14" ht="14.25" thickBot="1" x14ac:dyDescent="0.3">
      <c r="C127" s="974" t="s">
        <v>898</v>
      </c>
      <c r="D127" s="975">
        <v>3.0000000000000001E-3</v>
      </c>
      <c r="E127" s="931" t="str">
        <f t="shared" si="20"/>
        <v>Yes</v>
      </c>
      <c r="F127" s="975" t="s">
        <v>1149</v>
      </c>
      <c r="G127" s="931" t="str">
        <f t="shared" si="16"/>
        <v/>
      </c>
      <c r="H127" s="975" t="s">
        <v>1149</v>
      </c>
      <c r="I127" s="931" t="str">
        <f t="shared" si="17"/>
        <v/>
      </c>
      <c r="J127" s="975" t="s">
        <v>1149</v>
      </c>
      <c r="K127" s="931" t="str">
        <f t="shared" si="18"/>
        <v/>
      </c>
      <c r="L127" s="975" t="s">
        <v>1149</v>
      </c>
      <c r="M127" s="931" t="str">
        <f t="shared" si="19"/>
        <v/>
      </c>
    </row>
    <row r="128" spans="1:14" x14ac:dyDescent="0.25">
      <c r="B128" s="656"/>
      <c r="D128" s="965"/>
      <c r="E128" s="966"/>
      <c r="F128" s="965"/>
      <c r="G128" s="965"/>
      <c r="H128" s="966"/>
      <c r="I128" s="966"/>
      <c r="J128" s="966"/>
      <c r="K128" s="966"/>
      <c r="L128" s="966"/>
      <c r="M128" s="966"/>
      <c r="N128" s="966"/>
    </row>
    <row r="129" spans="2:14" x14ac:dyDescent="0.25">
      <c r="B129" s="932" t="s">
        <v>856</v>
      </c>
      <c r="C129" s="932"/>
      <c r="E129" s="966"/>
      <c r="F129" s="965"/>
      <c r="G129" s="965"/>
      <c r="H129" s="966"/>
      <c r="I129" s="966"/>
      <c r="J129" s="966"/>
      <c r="K129" s="966"/>
      <c r="L129" s="966"/>
      <c r="M129" s="966"/>
      <c r="N129" s="966"/>
    </row>
    <row r="130" spans="2:14" ht="110.25" customHeight="1" x14ac:dyDescent="0.25">
      <c r="B130" s="1284" t="s">
        <v>902</v>
      </c>
      <c r="C130" s="1284"/>
      <c r="D130" s="1284"/>
      <c r="E130" s="1284"/>
      <c r="F130" s="1284"/>
      <c r="G130" s="1284"/>
      <c r="H130" s="1284"/>
      <c r="I130" s="1284"/>
      <c r="J130" s="1284"/>
      <c r="K130" s="1284"/>
      <c r="L130" s="1284"/>
      <c r="M130" s="1284"/>
      <c r="N130" s="1284"/>
    </row>
    <row r="131" spans="2:14" ht="15" x14ac:dyDescent="0.25">
      <c r="B131" s="346" t="s">
        <v>903</v>
      </c>
      <c r="C131" s="883"/>
      <c r="D131" s="883"/>
      <c r="E131" s="883"/>
      <c r="F131" s="883"/>
      <c r="G131" s="883"/>
      <c r="H131" s="883"/>
      <c r="I131" s="883"/>
      <c r="J131" s="883"/>
      <c r="K131" s="883"/>
      <c r="L131" s="883"/>
      <c r="M131" s="883"/>
      <c r="N131" s="883"/>
    </row>
    <row r="132" spans="2:14" x14ac:dyDescent="0.25">
      <c r="C132" s="700" t="s">
        <v>1086</v>
      </c>
      <c r="D132" s="1277" t="s">
        <v>859</v>
      </c>
      <c r="E132" s="1277"/>
      <c r="F132" s="1277"/>
      <c r="G132" s="1277"/>
    </row>
    <row r="133" spans="2:14" x14ac:dyDescent="0.25">
      <c r="C133" s="700">
        <v>2026</v>
      </c>
      <c r="D133" s="1286" t="s">
        <v>904</v>
      </c>
      <c r="E133" s="1286"/>
      <c r="F133" s="1286"/>
      <c r="G133" s="1286"/>
    </row>
    <row r="134" spans="2:14" x14ac:dyDescent="0.25">
      <c r="C134" s="700">
        <v>2025</v>
      </c>
      <c r="D134" s="1285" t="s">
        <v>905</v>
      </c>
      <c r="E134" s="1285"/>
      <c r="F134" s="1285"/>
      <c r="G134" s="1285"/>
    </row>
    <row r="135" spans="2:14" ht="13.5" customHeight="1" x14ac:dyDescent="0.25">
      <c r="C135" s="700">
        <v>2024</v>
      </c>
      <c r="D135" s="1285" t="s">
        <v>905</v>
      </c>
      <c r="E135" s="1285"/>
      <c r="F135" s="1285"/>
      <c r="G135" s="1285"/>
    </row>
    <row r="136" spans="2:14" ht="13.5" customHeight="1" x14ac:dyDescent="0.25">
      <c r="B136" s="934"/>
      <c r="C136" s="934"/>
      <c r="D136" s="976"/>
      <c r="E136" s="976"/>
      <c r="F136" s="976"/>
      <c r="G136" s="976"/>
    </row>
    <row r="137" spans="2:14" ht="13.5" customHeight="1" x14ac:dyDescent="0.25">
      <c r="B137" s="932" t="s">
        <v>906</v>
      </c>
      <c r="C137" s="934"/>
      <c r="D137" s="945"/>
    </row>
    <row r="138" spans="2:14" ht="54.75" customHeight="1" x14ac:dyDescent="0.25">
      <c r="B138" s="1136" t="s">
        <v>862</v>
      </c>
      <c r="C138" s="1136"/>
      <c r="D138" s="1136"/>
      <c r="E138" s="1136"/>
      <c r="F138" s="1136"/>
      <c r="G138" s="1136"/>
      <c r="H138" s="1136"/>
      <c r="I138" s="1136"/>
      <c r="J138" s="1136"/>
      <c r="K138" s="1136"/>
      <c r="L138" s="1136"/>
      <c r="M138" s="1136"/>
      <c r="N138" s="1136"/>
    </row>
    <row r="139" spans="2:14" ht="55.5" customHeight="1" x14ac:dyDescent="0.25">
      <c r="C139" s="1281" t="s">
        <v>907</v>
      </c>
      <c r="D139" s="1281"/>
      <c r="E139" s="1281"/>
      <c r="F139" s="1281"/>
      <c r="G139" s="1281"/>
      <c r="H139" s="1281"/>
      <c r="I139" s="1281"/>
      <c r="J139" s="1281"/>
      <c r="K139" s="1281"/>
      <c r="L139" s="1281"/>
      <c r="M139" s="1281"/>
    </row>
    <row r="140" spans="2:14" x14ac:dyDescent="0.25">
      <c r="B140" s="934"/>
      <c r="C140" s="934"/>
      <c r="D140" s="976"/>
      <c r="E140" s="976"/>
      <c r="F140" s="976"/>
      <c r="G140" s="976"/>
    </row>
    <row r="141" spans="2:14" ht="15" x14ac:dyDescent="0.25">
      <c r="B141" s="153" t="str">
        <f>'Directors Certificate'!B57</f>
        <v>Transpower's Annual Compliance Statement for the year ending 30 June 2026</v>
      </c>
      <c r="C141" s="151"/>
      <c r="D141" s="151"/>
      <c r="E141" s="151"/>
      <c r="F141" s="151"/>
      <c r="G141" s="151"/>
      <c r="H141" s="151"/>
      <c r="I141" s="151"/>
      <c r="J141" s="151"/>
      <c r="K141" s="151"/>
      <c r="L141" s="151"/>
      <c r="M141" s="151"/>
      <c r="N141" s="151"/>
    </row>
  </sheetData>
  <mergeCells count="41">
    <mergeCell ref="B138:N138"/>
    <mergeCell ref="C139:M139"/>
    <mergeCell ref="B40:N40"/>
    <mergeCell ref="B41:N41"/>
    <mergeCell ref="B63:N63"/>
    <mergeCell ref="B75:N75"/>
    <mergeCell ref="B76:N76"/>
    <mergeCell ref="B91:N91"/>
    <mergeCell ref="B106:N106"/>
    <mergeCell ref="B130:N130"/>
    <mergeCell ref="D68:G68"/>
    <mergeCell ref="D134:G134"/>
    <mergeCell ref="D135:G135"/>
    <mergeCell ref="D133:G133"/>
    <mergeCell ref="B5:N5"/>
    <mergeCell ref="B36:N36"/>
    <mergeCell ref="B71:N71"/>
    <mergeCell ref="B86:N86"/>
    <mergeCell ref="B101:N101"/>
    <mergeCell ref="D31:G31"/>
    <mergeCell ref="D32:G32"/>
    <mergeCell ref="B39:N39"/>
    <mergeCell ref="B74:N74"/>
    <mergeCell ref="B89:N89"/>
    <mergeCell ref="D67:G67"/>
    <mergeCell ref="B2:L2"/>
    <mergeCell ref="D33:G33"/>
    <mergeCell ref="D65:G65"/>
    <mergeCell ref="D66:G66"/>
    <mergeCell ref="D132:G132"/>
    <mergeCell ref="B90:M90"/>
    <mergeCell ref="B105:M105"/>
    <mergeCell ref="B104:N104"/>
    <mergeCell ref="B4:N4"/>
    <mergeCell ref="C102:M102"/>
    <mergeCell ref="C87:M87"/>
    <mergeCell ref="C72:M72"/>
    <mergeCell ref="C37:M37"/>
    <mergeCell ref="B6:N6"/>
    <mergeCell ref="B28:N28"/>
    <mergeCell ref="D30:G30"/>
  </mergeCells>
  <conditionalFormatting sqref="D31:G33">
    <cfRule type="cellIs" dxfId="3" priority="3" operator="equal">
      <formula>"Non Compliant"</formula>
    </cfRule>
  </conditionalFormatting>
  <conditionalFormatting sqref="D66:G68 D133:G135">
    <cfRule type="cellIs" dxfId="2" priority="1" operator="equal">
      <formula>"Non Compliant"</formula>
    </cfRule>
  </conditionalFormatting>
  <conditionalFormatting sqref="D55:M60 D83:M83 D98:M98 D110:H116 D121:M127">
    <cfRule type="cellIs" dxfId="1" priority="2" operator="equal">
      <formula>"No"</formula>
    </cfRule>
  </conditionalFormatting>
  <conditionalFormatting sqref="E20:M25">
    <cfRule type="cellIs" dxfId="0" priority="4" operator="equal">
      <formula>"no"</formula>
    </cfRule>
  </conditionalFormatting>
  <hyperlinks>
    <hyperlink ref="B2" location="Contents!A1" display="A summary of pass-through costs and recoverable costs for the disclosure year as set out in Schedule H" xr:uid="{263F1741-9C5B-43EF-9F5C-F1CE8C061C40}"/>
    <hyperlink ref="B2:L2" location="'Table of Contents'!A1" display="'Table of Contents'!A1" xr:uid="{84D4C6A4-6BED-4E47-82FE-4F0889E042A8}"/>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rowBreaks count="5" manualBreakCount="5">
    <brk id="38" min="1" max="13" man="1"/>
    <brk id="61" min="1" max="13" man="1"/>
    <brk id="88" min="1" max="13" man="1"/>
    <brk id="103" min="1" max="13" man="1"/>
    <brk id="128" min="1" max="1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13928-C4DB-4032-A3D9-CC37B279D910}">
  <sheetPr>
    <tabColor theme="0"/>
    <pageSetUpPr fitToPage="1"/>
  </sheetPr>
  <dimension ref="B4:B5"/>
  <sheetViews>
    <sheetView zoomScale="85" zoomScaleNormal="85" workbookViewId="0">
      <selection activeCell="G51" sqref="G51"/>
    </sheetView>
  </sheetViews>
  <sheetFormatPr defaultColWidth="9.140625" defaultRowHeight="15" x14ac:dyDescent="0.25"/>
  <cols>
    <col min="1" max="16384" width="9.140625" style="1"/>
  </cols>
  <sheetData>
    <row r="4" spans="2:2" ht="53.25" x14ac:dyDescent="0.85">
      <c r="B4" s="345" t="s">
        <v>908</v>
      </c>
    </row>
    <row r="5" spans="2:2" ht="19.5" x14ac:dyDescent="0.3">
      <c r="B5" s="435"/>
    </row>
  </sheetData>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4DC13-0490-46DD-B8C9-389250605C87}">
  <sheetPr>
    <tabColor theme="7" tint="-0.249977111117893"/>
    <pageSetUpPr fitToPage="1"/>
  </sheetPr>
  <dimension ref="B2:J26"/>
  <sheetViews>
    <sheetView view="pageBreakPreview" zoomScale="92" zoomScaleNormal="100" zoomScaleSheetLayoutView="115" workbookViewId="0"/>
  </sheetViews>
  <sheetFormatPr defaultColWidth="9.140625" defaultRowHeight="13.5" x14ac:dyDescent="0.25"/>
  <cols>
    <col min="1" max="1" width="3.42578125" style="427" customWidth="1"/>
    <col min="2" max="2" width="5.5703125" style="427" customWidth="1"/>
    <col min="3" max="3" width="29.140625" style="427" customWidth="1"/>
    <col min="4" max="4" width="21.28515625" style="427" customWidth="1"/>
    <col min="5" max="5" width="26.28515625" style="427" customWidth="1"/>
    <col min="6" max="6" width="39.85546875" style="427" customWidth="1"/>
    <col min="7" max="7" width="12.7109375" style="427" customWidth="1"/>
    <col min="8" max="16384" width="9.140625" style="427"/>
  </cols>
  <sheetData>
    <row r="2" spans="2:7" ht="41.1" customHeight="1" x14ac:dyDescent="0.25">
      <c r="B2" s="1272" t="s">
        <v>909</v>
      </c>
      <c r="C2" s="1273"/>
      <c r="D2" s="1273"/>
      <c r="E2" s="1273"/>
      <c r="F2" s="1273"/>
      <c r="G2" s="1273"/>
    </row>
    <row r="3" spans="2:7" ht="15.95" customHeight="1" x14ac:dyDescent="0.25">
      <c r="B3" s="207"/>
      <c r="C3" s="207"/>
      <c r="D3" s="207"/>
      <c r="E3" s="207"/>
      <c r="F3" s="463" t="s">
        <v>3</v>
      </c>
      <c r="G3" s="746">
        <f>+'4_RAB'!$E$3</f>
        <v>46203</v>
      </c>
    </row>
    <row r="4" spans="2:7" ht="18.75" x14ac:dyDescent="0.25">
      <c r="B4" s="1297" t="s">
        <v>910</v>
      </c>
      <c r="C4" s="1298"/>
      <c r="D4" s="1298"/>
      <c r="E4" s="1298"/>
      <c r="F4" s="1298"/>
      <c r="G4" s="1299" t="s">
        <v>911</v>
      </c>
    </row>
    <row r="5" spans="2:7" s="304" customFormat="1" ht="131.25" customHeight="1" x14ac:dyDescent="0.25">
      <c r="B5" s="1136" t="s">
        <v>912</v>
      </c>
      <c r="C5" s="1136"/>
      <c r="D5" s="1136"/>
      <c r="E5" s="1136"/>
      <c r="F5" s="1136"/>
      <c r="G5" s="1136"/>
    </row>
    <row r="6" spans="2:7" ht="15" x14ac:dyDescent="0.25">
      <c r="B6" s="346" t="s">
        <v>913</v>
      </c>
      <c r="C6" s="923"/>
    </row>
    <row r="7" spans="2:7" customFormat="1" ht="15" x14ac:dyDescent="0.25">
      <c r="B7" s="427"/>
      <c r="C7" s="35" t="s">
        <v>914</v>
      </c>
      <c r="D7" s="1293" t="s">
        <v>706</v>
      </c>
      <c r="E7" s="1293"/>
      <c r="F7" s="1293"/>
      <c r="G7" s="427"/>
    </row>
    <row r="8" spans="2:7" customFormat="1" ht="72.75" customHeight="1" x14ac:dyDescent="0.25">
      <c r="B8" s="427"/>
      <c r="C8" s="1005" t="s">
        <v>915</v>
      </c>
      <c r="D8" s="1294" t="s">
        <v>916</v>
      </c>
      <c r="E8" s="1294"/>
      <c r="F8" s="1294"/>
      <c r="G8" s="427"/>
    </row>
    <row r="9" spans="2:7" customFormat="1" ht="24.6" customHeight="1" x14ac:dyDescent="0.25">
      <c r="B9" s="427"/>
      <c r="C9" s="427"/>
      <c r="D9" s="1295"/>
      <c r="E9" s="1295"/>
      <c r="F9" s="1295"/>
      <c r="G9" s="427"/>
    </row>
    <row r="10" spans="2:7" customFormat="1" ht="15" x14ac:dyDescent="0.25">
      <c r="C10" s="1"/>
      <c r="D10" s="1"/>
      <c r="E10" s="1"/>
      <c r="F10" s="427"/>
      <c r="G10" s="427"/>
    </row>
    <row r="11" spans="2:7" customFormat="1" ht="15" customHeight="1" x14ac:dyDescent="0.25">
      <c r="B11" s="1297" t="s">
        <v>917</v>
      </c>
      <c r="C11" s="1298"/>
      <c r="D11" s="1298"/>
      <c r="E11" s="1298"/>
      <c r="F11" s="1298"/>
      <c r="G11" s="1299"/>
    </row>
    <row r="12" spans="2:7" customFormat="1" ht="137.25" customHeight="1" x14ac:dyDescent="0.25">
      <c r="B12" s="1136" t="s">
        <v>918</v>
      </c>
      <c r="C12" s="1136"/>
      <c r="D12" s="1136"/>
      <c r="E12" s="1136"/>
      <c r="F12" s="1136"/>
      <c r="G12" s="1136"/>
    </row>
    <row r="13" spans="2:7" ht="15" x14ac:dyDescent="0.25">
      <c r="B13" s="346" t="s">
        <v>919</v>
      </c>
      <c r="C13" s="1"/>
      <c r="D13" s="1"/>
      <c r="E13" s="1"/>
      <c r="F13" s="1"/>
    </row>
    <row r="14" spans="2:7" ht="15" customHeight="1" x14ac:dyDescent="0.25">
      <c r="C14" s="1006" t="s">
        <v>920</v>
      </c>
      <c r="D14" s="1290" t="s">
        <v>921</v>
      </c>
      <c r="E14" s="1290"/>
      <c r="F14" s="1290"/>
    </row>
    <row r="15" spans="2:7" ht="29.1" customHeight="1" x14ac:dyDescent="0.25">
      <c r="C15" s="1007" t="s">
        <v>922</v>
      </c>
      <c r="D15" s="1287" t="s">
        <v>923</v>
      </c>
      <c r="E15" s="1288"/>
      <c r="F15" s="1289"/>
    </row>
    <row r="16" spans="2:7" ht="15" customHeight="1" x14ac:dyDescent="0.25">
      <c r="B16" s="135"/>
      <c r="C16" s="135"/>
      <c r="D16" s="135"/>
      <c r="E16" s="135"/>
    </row>
    <row r="17" spans="2:10" ht="18.75" x14ac:dyDescent="0.25">
      <c r="B17" s="1297" t="s">
        <v>924</v>
      </c>
      <c r="C17" s="1298"/>
      <c r="D17" s="1298"/>
      <c r="E17" s="1298"/>
      <c r="F17" s="1298"/>
      <c r="G17" s="1299" t="s">
        <v>925</v>
      </c>
    </row>
    <row r="18" spans="2:10" ht="136.5" customHeight="1" x14ac:dyDescent="0.25">
      <c r="B18" s="1136" t="s">
        <v>926</v>
      </c>
      <c r="C18" s="1136"/>
      <c r="D18" s="1136"/>
      <c r="E18" s="1136"/>
      <c r="F18" s="1136"/>
      <c r="G18" s="1136"/>
    </row>
    <row r="19" spans="2:10" ht="20.25" customHeight="1" x14ac:dyDescent="0.25">
      <c r="B19" s="346" t="s">
        <v>927</v>
      </c>
      <c r="C19" s="347"/>
      <c r="D19" s="347"/>
      <c r="E19" s="347"/>
      <c r="F19" s="347"/>
      <c r="G19" s="347"/>
    </row>
    <row r="20" spans="2:10" ht="24" customHeight="1" x14ac:dyDescent="0.25">
      <c r="C20" s="1008" t="s">
        <v>920</v>
      </c>
      <c r="D20" s="1291" t="s">
        <v>921</v>
      </c>
      <c r="E20" s="1291"/>
      <c r="F20" s="1291"/>
    </row>
    <row r="21" spans="2:10" ht="30.6" customHeight="1" x14ac:dyDescent="0.25">
      <c r="C21" s="1009" t="s">
        <v>928</v>
      </c>
      <c r="D21" s="1292" t="s">
        <v>929</v>
      </c>
      <c r="E21" s="1292"/>
      <c r="F21" s="1292"/>
    </row>
    <row r="22" spans="2:10" ht="30.6" customHeight="1" x14ac:dyDescent="0.25">
      <c r="C22" s="368" t="s">
        <v>930</v>
      </c>
      <c r="D22" s="1296" t="s">
        <v>931</v>
      </c>
      <c r="E22" s="1296"/>
      <c r="F22" s="1296"/>
    </row>
    <row r="23" spans="2:10" ht="15" x14ac:dyDescent="0.25">
      <c r="C23" s="1007" t="s">
        <v>922</v>
      </c>
      <c r="D23" s="1287" t="s">
        <v>923</v>
      </c>
      <c r="E23" s="1288"/>
      <c r="F23" s="1289"/>
      <c r="H23"/>
      <c r="I23"/>
      <c r="J23"/>
    </row>
    <row r="24" spans="2:10" ht="15" x14ac:dyDescent="0.25">
      <c r="B24" s="1"/>
      <c r="C24" s="1"/>
      <c r="D24" s="1"/>
      <c r="E24" s="1"/>
      <c r="F24" s="1"/>
      <c r="H24"/>
      <c r="I24"/>
      <c r="J24"/>
    </row>
    <row r="25" spans="2:10" ht="15" x14ac:dyDescent="0.25">
      <c r="B25" s="153" t="str">
        <f>"Transpower's information to accompany the Annual Compliance Statement for the year ending " &amp; TEXT('Directors Certificate'!$K$3,"dd mmmm yyyy")</f>
        <v>Transpower's information to accompany the Annual Compliance Statement for the year ending 30 June 2026</v>
      </c>
      <c r="C25" s="151"/>
      <c r="D25" s="151"/>
      <c r="E25" s="151"/>
      <c r="F25" s="151"/>
      <c r="G25" s="151"/>
      <c r="H25"/>
      <c r="I25"/>
      <c r="J25"/>
    </row>
    <row r="26" spans="2:10" ht="15" x14ac:dyDescent="0.25">
      <c r="H26"/>
      <c r="I26"/>
      <c r="J26"/>
    </row>
  </sheetData>
  <mergeCells count="16">
    <mergeCell ref="B5:G5"/>
    <mergeCell ref="B12:G12"/>
    <mergeCell ref="B18:G18"/>
    <mergeCell ref="B2:G2"/>
    <mergeCell ref="B11:G11"/>
    <mergeCell ref="B4:G4"/>
    <mergeCell ref="B17:G17"/>
    <mergeCell ref="D23:F23"/>
    <mergeCell ref="D14:F14"/>
    <mergeCell ref="D20:F20"/>
    <mergeCell ref="D21:F21"/>
    <mergeCell ref="D7:F7"/>
    <mergeCell ref="D8:F8"/>
    <mergeCell ref="D9:F9"/>
    <mergeCell ref="D15:F15"/>
    <mergeCell ref="D22:F22"/>
  </mergeCells>
  <hyperlinks>
    <hyperlink ref="D15:F15" r:id="rId1" display="Waiotahe loss of supply - Post-interruption report " xr:uid="{1B7B3FB6-51D8-4498-903D-F98DDD289223}"/>
    <hyperlink ref="D21:F21" r:id="rId2" display="Hawke's Bay loss of supply - Post-Interruption Report" xr:uid="{810D7313-63D8-4857-89D0-E8254C4C5508}"/>
    <hyperlink ref="D22:F22" r:id="rId3" display="Upper South Island loss of supply - Post-Interruption Report" xr:uid="{16238231-6B7B-4914-9063-4B20FE497577}"/>
    <hyperlink ref="D23:F23" r:id="rId4" display="Waiotahe loss of supply - Post-interruption report " xr:uid="{54A4746A-8F47-4667-8878-DDC9A56AD7CD}"/>
  </hyperlinks>
  <pageMargins left="0.62992125984251968" right="0.23622047244094491" top="0.74803149606299213" bottom="0.74803149606299213" header="0.31496062992125984" footer="0.31496062992125984"/>
  <pageSetup paperSize="8" fitToHeight="0" orientation="landscape" r:id="rId5"/>
  <headerFooter>
    <oddHeader>&amp;F</oddHeader>
    <oddFooter>&amp;A&amp;RPage &amp;P</oddFooter>
  </headerFooter>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57B69-DA2D-45B5-AD84-9CBBD59D70DE}">
  <sheetPr>
    <tabColor theme="7" tint="-0.249977111117893"/>
    <pageSetUpPr fitToPage="1"/>
  </sheetPr>
  <dimension ref="A1:S56"/>
  <sheetViews>
    <sheetView view="pageBreakPreview" zoomScale="78" zoomScaleNormal="100" zoomScaleSheetLayoutView="85" workbookViewId="0"/>
  </sheetViews>
  <sheetFormatPr defaultColWidth="9.140625" defaultRowHeight="13.5" x14ac:dyDescent="0.25"/>
  <cols>
    <col min="1" max="1" width="3.42578125" style="427" customWidth="1"/>
    <col min="2" max="2" width="7.5703125" style="427" customWidth="1"/>
    <col min="3" max="3" width="89.7109375" style="935" customWidth="1"/>
    <col min="4" max="4" width="19.85546875" style="427" bestFit="1" customWidth="1"/>
    <col min="5" max="5" width="18.85546875" style="427" customWidth="1"/>
    <col min="6" max="6" width="22.85546875" style="427" customWidth="1"/>
    <col min="7" max="8" width="21.42578125" style="427" customWidth="1"/>
    <col min="9" max="9" width="14.5703125" style="427" customWidth="1"/>
    <col min="10" max="16384" width="9.140625" style="427"/>
  </cols>
  <sheetData>
    <row r="1" spans="1:11" customFormat="1" ht="15" x14ac:dyDescent="0.25">
      <c r="A1" s="427"/>
      <c r="B1" s="427"/>
      <c r="C1" s="935"/>
      <c r="D1" s="427"/>
      <c r="E1" s="427"/>
      <c r="F1" s="427"/>
      <c r="G1" s="427"/>
      <c r="H1" s="427"/>
      <c r="I1" s="427"/>
    </row>
    <row r="2" spans="1:11" customFormat="1" ht="42.75" customHeight="1" x14ac:dyDescent="0.25">
      <c r="A2" s="427"/>
      <c r="B2" s="1272" t="s">
        <v>932</v>
      </c>
      <c r="C2" s="1273"/>
      <c r="D2" s="1273"/>
      <c r="E2" s="1273"/>
      <c r="F2" s="1273"/>
      <c r="G2" s="1273"/>
      <c r="H2" s="1273"/>
      <c r="I2" s="1273"/>
    </row>
    <row r="3" spans="1:11" customFormat="1" ht="18.75" x14ac:dyDescent="0.25">
      <c r="A3" s="427"/>
      <c r="B3" s="161"/>
      <c r="C3" s="430"/>
      <c r="D3" s="162"/>
      <c r="E3" s="165"/>
      <c r="F3" s="165"/>
      <c r="G3" s="463" t="s">
        <v>3</v>
      </c>
      <c r="H3" s="746">
        <f>+'4_RAB'!$E$3</f>
        <v>46203</v>
      </c>
      <c r="I3" s="164"/>
      <c r="K3" s="295" t="s">
        <v>5</v>
      </c>
    </row>
    <row r="4" spans="1:11" customFormat="1" ht="18.75" x14ac:dyDescent="0.25">
      <c r="A4" s="427"/>
      <c r="B4" s="1010" t="s">
        <v>933</v>
      </c>
      <c r="C4" s="1051"/>
      <c r="D4" s="1012"/>
      <c r="E4" s="1012"/>
      <c r="F4" s="1012"/>
      <c r="G4" s="1012"/>
      <c r="H4" s="1012"/>
      <c r="I4" s="1013"/>
    </row>
    <row r="5" spans="1:11" customFormat="1" ht="49.5" customHeight="1" x14ac:dyDescent="0.25">
      <c r="A5" s="427"/>
      <c r="B5" s="1300" t="s">
        <v>934</v>
      </c>
      <c r="C5" s="1300"/>
      <c r="D5" s="1300"/>
      <c r="E5" s="1300"/>
      <c r="F5" s="1300"/>
      <c r="G5" s="1300"/>
      <c r="H5" s="1300"/>
      <c r="I5" s="1300"/>
    </row>
    <row r="6" spans="1:11" customFormat="1" ht="15" x14ac:dyDescent="0.25">
      <c r="A6" s="427"/>
      <c r="B6" s="496" t="s">
        <v>935</v>
      </c>
      <c r="C6" s="887"/>
      <c r="D6" s="13"/>
      <c r="E6" s="13"/>
      <c r="F6" s="13"/>
      <c r="G6" s="13"/>
      <c r="H6" s="13"/>
      <c r="I6" s="14"/>
    </row>
    <row r="7" spans="1:11" customFormat="1" ht="15" x14ac:dyDescent="0.25">
      <c r="A7" s="427"/>
      <c r="B7" s="1015"/>
      <c r="C7" s="308" t="s">
        <v>936</v>
      </c>
      <c r="D7" s="137">
        <v>2026</v>
      </c>
      <c r="E7" s="137">
        <v>2027</v>
      </c>
      <c r="F7" s="137">
        <v>2028</v>
      </c>
      <c r="G7" s="137">
        <v>2029</v>
      </c>
      <c r="H7" s="137">
        <v>2030</v>
      </c>
      <c r="I7" s="1014"/>
    </row>
    <row r="8" spans="1:11" customFormat="1" ht="15" x14ac:dyDescent="0.25">
      <c r="A8" s="427"/>
      <c r="B8" s="1015"/>
      <c r="C8" s="1052" t="s">
        <v>937</v>
      </c>
      <c r="D8" s="297">
        <v>0.8</v>
      </c>
      <c r="E8" s="296"/>
      <c r="F8" s="296"/>
      <c r="G8" s="296"/>
      <c r="H8" s="296"/>
      <c r="I8" s="1014"/>
    </row>
    <row r="9" spans="1:11" customFormat="1" ht="15" x14ac:dyDescent="0.25">
      <c r="A9" s="427"/>
      <c r="B9" s="1015"/>
      <c r="C9" s="1053" t="s">
        <v>938</v>
      </c>
      <c r="D9" s="592">
        <v>0.11</v>
      </c>
      <c r="E9" s="146"/>
      <c r="F9" s="146"/>
      <c r="G9" s="146"/>
      <c r="H9" s="146"/>
      <c r="I9" s="1014"/>
    </row>
    <row r="10" spans="1:11" s="1" customFormat="1" ht="15" x14ac:dyDescent="0.25">
      <c r="A10" s="427"/>
      <c r="B10" s="1015"/>
      <c r="C10" s="34"/>
      <c r="I10" s="1014"/>
    </row>
    <row r="11" spans="1:11" customFormat="1" ht="15" x14ac:dyDescent="0.25">
      <c r="A11" s="427"/>
      <c r="B11" s="20" t="s">
        <v>939</v>
      </c>
      <c r="C11" s="34"/>
      <c r="D11" s="1"/>
      <c r="E11" s="1"/>
      <c r="F11" s="1"/>
      <c r="G11" s="1"/>
      <c r="H11" s="1"/>
      <c r="I11" s="16"/>
    </row>
    <row r="12" spans="1:11" customFormat="1" ht="15" x14ac:dyDescent="0.25">
      <c r="B12" s="12"/>
      <c r="C12" s="1054" t="s">
        <v>940</v>
      </c>
      <c r="D12" s="1054"/>
      <c r="E12" s="1054"/>
      <c r="F12" s="1054"/>
      <c r="G12" s="1054"/>
      <c r="H12" s="1054"/>
      <c r="I12" s="16"/>
    </row>
    <row r="13" spans="1:11" customFormat="1" ht="15" x14ac:dyDescent="0.25">
      <c r="B13" s="1015"/>
      <c r="C13" s="34"/>
      <c r="D13" s="1"/>
      <c r="E13" s="1"/>
      <c r="F13" s="1"/>
      <c r="G13" s="1"/>
      <c r="H13" s="1"/>
      <c r="I13" s="16"/>
    </row>
    <row r="14" spans="1:11" customFormat="1" ht="18.75" x14ac:dyDescent="0.25">
      <c r="B14" s="1010" t="s">
        <v>941</v>
      </c>
      <c r="C14" s="1051"/>
      <c r="D14" s="1012"/>
      <c r="E14" s="1012"/>
      <c r="F14" s="1012"/>
      <c r="G14" s="1012"/>
      <c r="H14" s="1012"/>
      <c r="I14" s="1013"/>
    </row>
    <row r="15" spans="1:11" customFormat="1" ht="62.25" customHeight="1" x14ac:dyDescent="0.25">
      <c r="B15" s="1307" t="s">
        <v>942</v>
      </c>
      <c r="C15" s="1300"/>
      <c r="D15" s="1300"/>
      <c r="E15" s="1300"/>
      <c r="F15" s="1300"/>
      <c r="G15" s="1300"/>
      <c r="H15" s="1300"/>
      <c r="I15" s="1308"/>
    </row>
    <row r="16" spans="1:11" customFormat="1" ht="84" customHeight="1" x14ac:dyDescent="0.25">
      <c r="B16" s="1307" t="s">
        <v>943</v>
      </c>
      <c r="C16" s="1300"/>
      <c r="D16" s="1300"/>
      <c r="E16" s="1300"/>
      <c r="F16" s="1300"/>
      <c r="G16" s="1300"/>
      <c r="H16" s="1300"/>
      <c r="I16" s="1308"/>
    </row>
    <row r="17" spans="2:17" s="1" customFormat="1" ht="21" customHeight="1" x14ac:dyDescent="0.25">
      <c r="B17" s="376" t="s">
        <v>944</v>
      </c>
      <c r="I17" s="16"/>
    </row>
    <row r="18" spans="2:17" customFormat="1" ht="15" x14ac:dyDescent="0.25">
      <c r="B18" s="1015"/>
      <c r="C18" s="431" t="s">
        <v>945</v>
      </c>
      <c r="D18" s="137">
        <v>2026</v>
      </c>
      <c r="E18" s="137">
        <v>2027</v>
      </c>
      <c r="F18" s="137">
        <v>2028</v>
      </c>
      <c r="G18" s="137">
        <v>2029</v>
      </c>
      <c r="H18" s="137">
        <v>2030</v>
      </c>
      <c r="I18" s="1014"/>
    </row>
    <row r="19" spans="2:17" customFormat="1" ht="15" x14ac:dyDescent="0.25">
      <c r="B19" s="1015"/>
      <c r="C19" s="432" t="s">
        <v>946</v>
      </c>
      <c r="D19" s="297"/>
      <c r="E19" s="297"/>
      <c r="F19" s="297"/>
      <c r="G19" s="297"/>
      <c r="H19" s="297"/>
      <c r="I19" s="1014"/>
    </row>
    <row r="20" spans="2:17" customFormat="1" ht="15" x14ac:dyDescent="0.25">
      <c r="B20" s="1015"/>
      <c r="C20" s="1055" t="s">
        <v>947</v>
      </c>
      <c r="D20" s="145">
        <v>105</v>
      </c>
      <c r="E20" s="145"/>
      <c r="F20" s="145"/>
      <c r="G20" s="145"/>
      <c r="H20" s="145"/>
      <c r="I20" s="1014"/>
    </row>
    <row r="21" spans="2:17" customFormat="1" ht="30" x14ac:dyDescent="0.25">
      <c r="B21" s="1015"/>
      <c r="C21" s="1052" t="s">
        <v>948</v>
      </c>
      <c r="D21" s="299">
        <v>121</v>
      </c>
      <c r="E21" s="298"/>
      <c r="F21" s="298"/>
      <c r="G21" s="298"/>
      <c r="H21" s="298"/>
      <c r="I21" s="1014"/>
    </row>
    <row r="22" spans="2:17" customFormat="1" ht="30" x14ac:dyDescent="0.25">
      <c r="B22" s="1015"/>
      <c r="C22" s="1055" t="s">
        <v>949</v>
      </c>
      <c r="D22" s="145">
        <v>121</v>
      </c>
      <c r="E22" s="145"/>
      <c r="F22" s="145"/>
      <c r="G22" s="145"/>
      <c r="H22" s="145"/>
      <c r="I22" s="1014"/>
    </row>
    <row r="23" spans="2:17" customFormat="1" ht="30" x14ac:dyDescent="0.25">
      <c r="B23" s="1015"/>
      <c r="C23" s="1052" t="s">
        <v>950</v>
      </c>
      <c r="D23" s="299">
        <v>121</v>
      </c>
      <c r="E23" s="299"/>
      <c r="F23" s="299"/>
      <c r="G23" s="299"/>
      <c r="H23" s="299"/>
      <c r="I23" s="1014"/>
    </row>
    <row r="24" spans="2:17" customFormat="1" ht="15" x14ac:dyDescent="0.25">
      <c r="B24" s="1015"/>
      <c r="C24" s="1055"/>
      <c r="D24" s="140"/>
      <c r="E24" s="140"/>
      <c r="F24" s="140"/>
      <c r="G24" s="140"/>
      <c r="H24" s="140"/>
      <c r="I24" s="1014"/>
    </row>
    <row r="25" spans="2:17" s="1" customFormat="1" ht="15" x14ac:dyDescent="0.25">
      <c r="B25" s="1015"/>
      <c r="C25" s="1056"/>
      <c r="D25" s="434"/>
      <c r="E25" s="434"/>
      <c r="F25" s="434"/>
      <c r="G25" s="429"/>
      <c r="H25" s="429"/>
      <c r="I25" s="1014"/>
    </row>
    <row r="26" spans="2:17" customFormat="1" ht="66" customHeight="1" x14ac:dyDescent="0.25">
      <c r="B26" s="1015"/>
      <c r="C26" s="1309" t="s">
        <v>951</v>
      </c>
      <c r="D26" s="1309"/>
      <c r="E26" s="1309"/>
      <c r="F26" s="1309"/>
      <c r="G26" s="1309"/>
      <c r="H26" s="1309"/>
      <c r="I26" s="515"/>
      <c r="L26" s="427"/>
      <c r="M26" s="427"/>
      <c r="N26" s="427"/>
      <c r="O26" s="427"/>
      <c r="P26" s="427"/>
      <c r="Q26" s="427"/>
    </row>
    <row r="27" spans="2:17" s="1" customFormat="1" ht="15" x14ac:dyDescent="0.25">
      <c r="B27" s="516"/>
      <c r="C27" s="517"/>
      <c r="D27" s="517"/>
      <c r="E27" s="517"/>
      <c r="F27" s="517"/>
      <c r="G27" s="517"/>
      <c r="H27" s="517"/>
      <c r="I27" s="518"/>
    </row>
    <row r="28" spans="2:17" customFormat="1" ht="99" customHeight="1" x14ac:dyDescent="0.25">
      <c r="B28" s="1304" t="s">
        <v>952</v>
      </c>
      <c r="C28" s="1305"/>
      <c r="D28" s="1305"/>
      <c r="E28" s="1305"/>
      <c r="F28" s="1305"/>
      <c r="G28" s="1305"/>
      <c r="H28" s="1305"/>
      <c r="I28" s="1306"/>
    </row>
    <row r="29" spans="2:17" customFormat="1" ht="15" customHeight="1" x14ac:dyDescent="0.25">
      <c r="B29" s="376" t="s">
        <v>953</v>
      </c>
      <c r="C29" s="1057"/>
      <c r="D29" s="1057"/>
      <c r="E29" s="1057"/>
      <c r="F29" s="1057"/>
      <c r="G29" s="1057"/>
      <c r="H29" s="1057"/>
      <c r="I29" s="1058"/>
    </row>
    <row r="30" spans="2:17" customFormat="1" ht="15" x14ac:dyDescent="0.25">
      <c r="B30" s="1015"/>
      <c r="C30" s="431" t="s">
        <v>954</v>
      </c>
      <c r="D30" s="137">
        <v>2026</v>
      </c>
      <c r="E30" s="137">
        <v>2027</v>
      </c>
      <c r="F30" s="137">
        <v>2028</v>
      </c>
      <c r="G30" s="137">
        <v>2029</v>
      </c>
      <c r="H30" s="137">
        <v>2030</v>
      </c>
      <c r="I30" s="1014"/>
    </row>
    <row r="31" spans="2:17" customFormat="1" ht="15" x14ac:dyDescent="0.25">
      <c r="B31" s="1015"/>
      <c r="C31" s="1052" t="s">
        <v>955</v>
      </c>
      <c r="D31" s="299">
        <v>29</v>
      </c>
      <c r="E31" s="299"/>
      <c r="F31" s="299"/>
      <c r="G31" s="299"/>
      <c r="H31" s="299"/>
      <c r="I31" s="1014"/>
    </row>
    <row r="32" spans="2:17" customFormat="1" ht="15" x14ac:dyDescent="0.25">
      <c r="B32" s="1015"/>
      <c r="C32" s="1055" t="s">
        <v>956</v>
      </c>
      <c r="D32" s="591">
        <v>44</v>
      </c>
      <c r="E32" s="138"/>
      <c r="F32" s="138"/>
      <c r="G32" s="138"/>
      <c r="H32" s="138"/>
      <c r="I32" s="1014"/>
    </row>
    <row r="33" spans="1:19" customFormat="1" ht="15" x14ac:dyDescent="0.25">
      <c r="B33" s="1015"/>
      <c r="C33" s="1052" t="s">
        <v>957</v>
      </c>
      <c r="D33" s="589" t="s">
        <v>958</v>
      </c>
      <c r="E33" s="299"/>
      <c r="F33" s="299"/>
      <c r="G33" s="299"/>
      <c r="H33" s="299"/>
      <c r="I33" s="1014"/>
    </row>
    <row r="34" spans="1:19" customFormat="1" ht="15" x14ac:dyDescent="0.25">
      <c r="B34" s="1015"/>
      <c r="C34" s="1055" t="s">
        <v>959</v>
      </c>
      <c r="D34" s="594" t="s">
        <v>958</v>
      </c>
      <c r="E34" s="146"/>
      <c r="F34" s="146"/>
      <c r="G34" s="146"/>
      <c r="H34" s="146"/>
      <c r="I34" s="1014"/>
    </row>
    <row r="35" spans="1:19" customFormat="1" ht="15" x14ac:dyDescent="0.25">
      <c r="B35" s="516"/>
      <c r="C35" s="1059"/>
      <c r="D35" s="1060"/>
      <c r="E35" s="1060"/>
      <c r="F35" s="1060"/>
      <c r="G35" s="1060"/>
      <c r="H35" s="1061"/>
      <c r="I35" s="1014"/>
    </row>
    <row r="36" spans="1:19" customFormat="1" ht="45.75" customHeight="1" x14ac:dyDescent="0.25">
      <c r="B36" s="1015"/>
      <c r="C36" s="1309" t="s">
        <v>960</v>
      </c>
      <c r="D36" s="1309"/>
      <c r="E36" s="1309"/>
      <c r="F36" s="1309"/>
      <c r="G36" s="1309"/>
      <c r="H36" s="1309"/>
      <c r="I36" s="515"/>
    </row>
    <row r="37" spans="1:19" customFormat="1" ht="15" x14ac:dyDescent="0.25">
      <c r="B37" s="519"/>
      <c r="C37" s="517"/>
      <c r="D37" s="517"/>
      <c r="E37" s="517"/>
      <c r="F37" s="517"/>
      <c r="G37" s="517"/>
      <c r="H37" s="517"/>
      <c r="I37" s="520"/>
    </row>
    <row r="38" spans="1:19" customFormat="1" ht="148.5" customHeight="1" x14ac:dyDescent="0.25">
      <c r="B38" s="1304" t="s">
        <v>961</v>
      </c>
      <c r="C38" s="1305"/>
      <c r="D38" s="1305"/>
      <c r="E38" s="1305"/>
      <c r="F38" s="1305"/>
      <c r="G38" s="1305"/>
      <c r="H38" s="1305"/>
      <c r="I38" s="1306"/>
      <c r="N38" s="427"/>
      <c r="O38" s="427"/>
      <c r="P38" s="427"/>
      <c r="Q38" s="427"/>
      <c r="R38" s="427"/>
      <c r="S38" s="427"/>
    </row>
    <row r="39" spans="1:19" s="1" customFormat="1" ht="15" x14ac:dyDescent="0.25">
      <c r="B39" s="376" t="s">
        <v>962</v>
      </c>
      <c r="C39" s="885"/>
      <c r="D39" s="885"/>
      <c r="E39" s="885"/>
      <c r="F39" s="885"/>
      <c r="G39" s="885"/>
      <c r="H39" s="885"/>
      <c r="I39" s="888"/>
      <c r="N39" s="427"/>
      <c r="O39" s="427"/>
      <c r="P39" s="427"/>
      <c r="Q39" s="427"/>
      <c r="R39" s="427"/>
      <c r="S39" s="427"/>
    </row>
    <row r="40" spans="1:19" customFormat="1" ht="15" x14ac:dyDescent="0.25">
      <c r="B40" s="1015"/>
      <c r="C40" s="431" t="s">
        <v>963</v>
      </c>
      <c r="D40" s="137">
        <v>2026</v>
      </c>
      <c r="E40" s="137">
        <v>2027</v>
      </c>
      <c r="F40" s="137">
        <v>2028</v>
      </c>
      <c r="G40" s="137">
        <v>2029</v>
      </c>
      <c r="H40" s="137">
        <v>2030</v>
      </c>
      <c r="I40" s="1014"/>
    </row>
    <row r="41" spans="1:19" customFormat="1" ht="15" x14ac:dyDescent="0.25">
      <c r="A41" s="1062"/>
      <c r="B41" s="1063"/>
      <c r="C41" s="1052" t="s">
        <v>964</v>
      </c>
      <c r="D41" s="589">
        <v>17</v>
      </c>
      <c r="E41" s="303"/>
      <c r="F41" s="303"/>
      <c r="G41" s="303"/>
      <c r="H41" s="303"/>
      <c r="I41" s="1064"/>
    </row>
    <row r="42" spans="1:19" customFormat="1" ht="15" x14ac:dyDescent="0.25">
      <c r="A42" s="1062"/>
      <c r="B42" s="1063"/>
      <c r="C42" s="1065" t="s">
        <v>965</v>
      </c>
      <c r="D42" s="1066">
        <v>30611481</v>
      </c>
      <c r="E42" s="300"/>
      <c r="F42" s="300"/>
      <c r="G42" s="300"/>
      <c r="H42" s="300"/>
      <c r="I42" s="1064"/>
    </row>
    <row r="43" spans="1:19" customFormat="1" ht="30" x14ac:dyDescent="0.25">
      <c r="A43" s="1062"/>
      <c r="B43" s="1063"/>
      <c r="C43" s="1052" t="s">
        <v>966</v>
      </c>
      <c r="D43" s="589">
        <v>351</v>
      </c>
      <c r="E43" s="303"/>
      <c r="F43" s="303"/>
      <c r="G43" s="303"/>
      <c r="H43" s="303"/>
      <c r="I43" s="1064"/>
    </row>
    <row r="44" spans="1:19" customFormat="1" ht="30" x14ac:dyDescent="0.25">
      <c r="A44" s="1062"/>
      <c r="B44" s="1063"/>
      <c r="C44" s="1065" t="s">
        <v>967</v>
      </c>
      <c r="D44" s="590">
        <v>387</v>
      </c>
      <c r="E44" s="301"/>
      <c r="F44" s="301"/>
      <c r="G44" s="301"/>
      <c r="H44" s="301"/>
      <c r="I44" s="1064"/>
      <c r="K44" s="1062"/>
      <c r="L44" s="1062"/>
      <c r="M44" s="1062"/>
    </row>
    <row r="45" spans="1:19" customFormat="1" ht="30" x14ac:dyDescent="0.25">
      <c r="A45" s="1062"/>
      <c r="B45" s="1063"/>
      <c r="C45" s="1052" t="s">
        <v>968</v>
      </c>
      <c r="D45" s="589">
        <v>460</v>
      </c>
      <c r="E45" s="303"/>
      <c r="F45" s="303"/>
      <c r="G45" s="303"/>
      <c r="H45" s="303"/>
      <c r="I45" s="1064"/>
      <c r="K45" s="1062"/>
      <c r="L45" s="1062"/>
      <c r="M45" s="1062"/>
    </row>
    <row r="46" spans="1:19" customFormat="1" ht="30" x14ac:dyDescent="0.25">
      <c r="A46" s="1062"/>
      <c r="B46" s="1063"/>
      <c r="C46" s="1065" t="s">
        <v>969</v>
      </c>
      <c r="D46" s="590">
        <v>362</v>
      </c>
      <c r="E46" s="302"/>
      <c r="F46" s="302"/>
      <c r="G46" s="302"/>
      <c r="H46" s="302"/>
      <c r="I46" s="1064"/>
      <c r="K46" s="1062"/>
      <c r="L46" s="1062"/>
      <c r="M46" s="1062"/>
    </row>
    <row r="47" spans="1:19" customFormat="1" ht="15" x14ac:dyDescent="0.25">
      <c r="A47" s="1062"/>
      <c r="B47" s="1063"/>
      <c r="C47" s="1052" t="s">
        <v>970</v>
      </c>
      <c r="D47" s="589">
        <v>14</v>
      </c>
      <c r="E47" s="303"/>
      <c r="F47" s="303"/>
      <c r="G47" s="303"/>
      <c r="H47" s="303"/>
      <c r="I47" s="1064"/>
      <c r="K47" s="1062"/>
      <c r="L47" s="1062"/>
      <c r="M47" s="1062"/>
    </row>
    <row r="48" spans="1:19" customFormat="1" ht="15" x14ac:dyDescent="0.25">
      <c r="A48" s="1062"/>
      <c r="B48" s="1063"/>
      <c r="C48" s="1055" t="s">
        <v>971</v>
      </c>
      <c r="D48" s="593">
        <v>0.82</v>
      </c>
      <c r="E48" s="302"/>
      <c r="F48" s="302"/>
      <c r="G48" s="302"/>
      <c r="H48" s="302"/>
      <c r="I48" s="1064"/>
      <c r="K48" s="1062"/>
      <c r="L48" s="1062"/>
      <c r="M48" s="1062"/>
    </row>
    <row r="49" spans="1:17" customFormat="1" ht="15" x14ac:dyDescent="0.25">
      <c r="A49" s="1062"/>
      <c r="B49" s="1063"/>
      <c r="C49" s="1052" t="s">
        <v>972</v>
      </c>
      <c r="D49" s="589">
        <v>1</v>
      </c>
      <c r="E49" s="303"/>
      <c r="F49" s="303"/>
      <c r="G49" s="303"/>
      <c r="H49" s="303"/>
      <c r="I49" s="1064"/>
      <c r="K49" s="1062"/>
      <c r="L49" s="1062"/>
      <c r="M49" s="1062"/>
    </row>
    <row r="50" spans="1:17" customFormat="1" ht="15" x14ac:dyDescent="0.25">
      <c r="A50" s="1062"/>
      <c r="B50" s="1063"/>
      <c r="C50" s="1055" t="s">
        <v>973</v>
      </c>
      <c r="D50" s="593">
        <v>0.14000000000000001</v>
      </c>
      <c r="E50" s="302"/>
      <c r="F50" s="302"/>
      <c r="G50" s="302"/>
      <c r="H50" s="302"/>
      <c r="I50" s="1064"/>
      <c r="K50" s="1062"/>
      <c r="L50" s="1062"/>
      <c r="M50" s="1062"/>
    </row>
    <row r="51" spans="1:17" customFormat="1" ht="15" x14ac:dyDescent="0.25">
      <c r="A51" s="1062"/>
      <c r="B51" s="1063"/>
      <c r="C51" s="1052" t="s">
        <v>974</v>
      </c>
      <c r="D51" s="589">
        <v>15</v>
      </c>
      <c r="E51" s="303"/>
      <c r="F51" s="303"/>
      <c r="G51" s="303"/>
      <c r="H51" s="303"/>
      <c r="I51" s="1064"/>
      <c r="K51" s="1062"/>
      <c r="L51" s="1062"/>
      <c r="M51" s="1062"/>
    </row>
    <row r="52" spans="1:17" customFormat="1" ht="22.5" customHeight="1" x14ac:dyDescent="0.25">
      <c r="A52" s="1062"/>
      <c r="B52" s="1063"/>
      <c r="C52" s="1055" t="s">
        <v>975</v>
      </c>
      <c r="D52" s="1067">
        <v>0.23</v>
      </c>
      <c r="E52" s="1068"/>
      <c r="F52" s="1068"/>
      <c r="G52" s="1068"/>
      <c r="H52" s="1068"/>
      <c r="I52" s="1064"/>
      <c r="K52" s="1062"/>
      <c r="L52" s="1062"/>
      <c r="M52" s="1062"/>
    </row>
    <row r="53" spans="1:17" customFormat="1" ht="15" x14ac:dyDescent="0.25">
      <c r="B53" s="1015"/>
      <c r="C53" s="935"/>
      <c r="D53" s="427"/>
      <c r="E53" s="427"/>
      <c r="F53" s="427"/>
      <c r="G53" s="427"/>
      <c r="H53" s="517"/>
      <c r="I53" s="515"/>
      <c r="K53" s="427"/>
      <c r="L53" s="427"/>
      <c r="M53" s="427"/>
    </row>
    <row r="54" spans="1:17" customFormat="1" ht="48.75" customHeight="1" x14ac:dyDescent="0.25">
      <c r="B54" s="519"/>
      <c r="C54" s="1301" t="s">
        <v>1114</v>
      </c>
      <c r="D54" s="1301"/>
      <c r="E54" s="1301"/>
      <c r="F54" s="1301"/>
      <c r="G54" s="1301"/>
      <c r="H54" s="1301"/>
      <c r="I54" s="520"/>
      <c r="K54" s="427"/>
      <c r="L54" s="427"/>
      <c r="M54" s="427"/>
    </row>
    <row r="55" spans="1:17" customFormat="1" ht="15" x14ac:dyDescent="0.25">
      <c r="B55" s="1302"/>
      <c r="C55" s="1303"/>
      <c r="D55" s="1303"/>
      <c r="E55" s="1303"/>
      <c r="F55" s="1303"/>
      <c r="G55" s="1303"/>
      <c r="H55" s="1069"/>
      <c r="I55" s="19"/>
      <c r="K55" s="427"/>
      <c r="L55" s="427"/>
      <c r="M55" s="427"/>
      <c r="N55" s="427"/>
      <c r="O55" s="427"/>
      <c r="P55" s="427"/>
      <c r="Q55" s="427"/>
    </row>
    <row r="56" spans="1:17" customFormat="1" ht="15" x14ac:dyDescent="0.25">
      <c r="B56" s="153" t="str">
        <f>+'15_Events-AP&amp;AH'!B25</f>
        <v>Transpower's information to accompany the Annual Compliance Statement for the year ending 30 June 2026</v>
      </c>
      <c r="C56" s="1070"/>
      <c r="D56" s="151"/>
      <c r="E56" s="151"/>
      <c r="F56" s="151"/>
      <c r="G56" s="151"/>
      <c r="H56" s="151"/>
      <c r="I56" s="151"/>
      <c r="J56" s="309"/>
      <c r="K56" s="427"/>
      <c r="L56" s="427"/>
      <c r="M56" s="427"/>
      <c r="N56" s="309"/>
      <c r="O56" s="309"/>
      <c r="P56" s="309"/>
    </row>
  </sheetData>
  <mergeCells count="10">
    <mergeCell ref="B2:I2"/>
    <mergeCell ref="B5:I5"/>
    <mergeCell ref="C54:H54"/>
    <mergeCell ref="B55:G55"/>
    <mergeCell ref="B28:I28"/>
    <mergeCell ref="B15:I15"/>
    <mergeCell ref="B16:I16"/>
    <mergeCell ref="C26:H26"/>
    <mergeCell ref="C36:H36"/>
    <mergeCell ref="B38:I38"/>
  </mergeCells>
  <hyperlinks>
    <hyperlink ref="B2" location="Contents!A1" display="A summary of pass-through costs and recoverable costs for the disclosure year as set out in Schedule H" xr:uid="{E407862A-4AD1-4BE8-BAF2-DBDA74D4CE49}"/>
    <hyperlink ref="K3" r:id="rId1" display="https://www.comcom.govt.nz/__data/assets/pdf_file/0022/363253/Transpower-Individual-Price-Quality-Path-Determination-2025.pdf" xr:uid="{9CAED5B2-B93F-4894-95D9-DDF88DC01A06}"/>
    <hyperlink ref="B2:I2" location="'Table of Contents'!A1" display="'Table of Contents'!A1" xr:uid="{E99D97EE-5E2E-4CFF-A316-08F370D51E6B}"/>
  </hyperlinks>
  <pageMargins left="0.23622047244094491" right="0.23622047244094491" top="0.74803149606299213" bottom="0.74803149606299213" header="0.31496062992125984" footer="0.31496062992125984"/>
  <pageSetup paperSize="8" scale="94" fitToHeight="0" orientation="landscape" r:id="rId2"/>
  <headerFooter>
    <oddHeader>&amp;F</oddHeader>
    <oddFooter>&amp;A&amp;RPage &amp;P</oddFooter>
  </headerFooter>
  <rowBreaks count="1" manualBreakCount="1">
    <brk id="38" min="1" max="8"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4B30B-47EE-4D07-A98F-F3489A1BC17B}">
  <sheetPr>
    <tabColor theme="7" tint="-0.249977111117893"/>
    <pageSetUpPr fitToPage="1"/>
  </sheetPr>
  <dimension ref="A1:T73"/>
  <sheetViews>
    <sheetView view="pageBreakPreview" zoomScale="85" zoomScaleNormal="100" zoomScaleSheetLayoutView="85" workbookViewId="0">
      <selection activeCell="G71" sqref="G71"/>
    </sheetView>
  </sheetViews>
  <sheetFormatPr defaultColWidth="9.140625" defaultRowHeight="13.5" x14ac:dyDescent="0.25"/>
  <cols>
    <col min="1" max="1" width="3.42578125" style="427" customWidth="1"/>
    <col min="2" max="2" width="7.5703125" style="427" customWidth="1"/>
    <col min="3" max="3" width="25.140625" style="427" customWidth="1"/>
    <col min="4" max="4" width="30.28515625" style="427" customWidth="1"/>
    <col min="5" max="5" width="20" style="427" customWidth="1"/>
    <col min="6" max="6" width="19.85546875" style="427" bestFit="1" customWidth="1"/>
    <col min="7" max="7" width="18.85546875" style="427" customWidth="1"/>
    <col min="8" max="8" width="22.85546875" style="427" customWidth="1"/>
    <col min="9" max="9" width="21.42578125" style="427" customWidth="1"/>
    <col min="10" max="10" width="31.5703125" style="427" customWidth="1"/>
    <col min="11" max="11" width="5.5703125" style="427" customWidth="1"/>
    <col min="12" max="16384" width="9.140625" style="427"/>
  </cols>
  <sheetData>
    <row r="1" spans="1:13" customFormat="1" ht="15" x14ac:dyDescent="0.25">
      <c r="A1" s="427"/>
      <c r="B1" s="427"/>
      <c r="C1" s="427"/>
      <c r="D1" s="427"/>
      <c r="E1" s="427"/>
      <c r="F1" s="427"/>
      <c r="G1" s="427"/>
      <c r="H1" s="427"/>
      <c r="I1" s="427"/>
      <c r="J1" s="427"/>
      <c r="K1" s="427"/>
    </row>
    <row r="2" spans="1:13" customFormat="1" ht="42.75" customHeight="1" x14ac:dyDescent="0.25">
      <c r="A2" s="427"/>
      <c r="B2" s="1272" t="s">
        <v>976</v>
      </c>
      <c r="C2" s="1273"/>
      <c r="D2" s="1273"/>
      <c r="E2" s="1273"/>
      <c r="F2" s="1273"/>
      <c r="G2" s="1273"/>
      <c r="H2" s="1273"/>
      <c r="I2" s="1273"/>
      <c r="J2" s="1273"/>
      <c r="K2" s="1273"/>
    </row>
    <row r="3" spans="1:13" customFormat="1" ht="18.75" x14ac:dyDescent="0.25">
      <c r="A3" s="427"/>
      <c r="B3" s="161"/>
      <c r="C3" s="162"/>
      <c r="D3" s="163"/>
      <c r="E3" s="164"/>
      <c r="F3" s="162"/>
      <c r="G3" s="165"/>
      <c r="H3" s="165"/>
      <c r="I3" s="463" t="s">
        <v>3</v>
      </c>
      <c r="J3" s="746">
        <f>+'4_RAB'!$E$3</f>
        <v>46203</v>
      </c>
      <c r="K3" s="164"/>
      <c r="M3" s="295"/>
    </row>
    <row r="4" spans="1:13" customFormat="1" ht="13.5" customHeight="1" x14ac:dyDescent="0.25">
      <c r="A4" s="427"/>
      <c r="B4" s="161"/>
      <c r="C4" s="162"/>
      <c r="D4" s="163"/>
      <c r="E4" s="164"/>
      <c r="F4" s="162"/>
      <c r="G4" s="165"/>
      <c r="H4" s="165"/>
      <c r="I4" s="163"/>
      <c r="J4" s="461"/>
      <c r="K4" s="164"/>
      <c r="M4" s="295"/>
    </row>
    <row r="5" spans="1:13" ht="21.75" customHeight="1" x14ac:dyDescent="0.25">
      <c r="B5" s="1010" t="s">
        <v>977</v>
      </c>
      <c r="C5" s="1011"/>
      <c r="D5" s="1012"/>
      <c r="E5" s="1012"/>
      <c r="F5" s="1012"/>
      <c r="G5" s="1012"/>
      <c r="H5" s="1012"/>
      <c r="I5" s="1012"/>
      <c r="J5" s="1012"/>
      <c r="K5" s="1013"/>
    </row>
    <row r="6" spans="1:13" ht="35.25" customHeight="1" x14ac:dyDescent="0.25">
      <c r="B6" s="1307" t="s">
        <v>978</v>
      </c>
      <c r="C6" s="1300"/>
      <c r="D6" s="1300"/>
      <c r="E6" s="1300"/>
      <c r="F6" s="1300"/>
      <c r="G6" s="1300"/>
      <c r="H6" s="1300"/>
      <c r="I6" s="1300"/>
      <c r="J6" s="1300"/>
      <c r="K6" s="1308"/>
    </row>
    <row r="7" spans="1:13" ht="12.95" customHeight="1" x14ac:dyDescent="0.25">
      <c r="B7" s="376" t="s">
        <v>979</v>
      </c>
      <c r="C7" s="1"/>
      <c r="D7" s="1"/>
      <c r="E7" s="1"/>
      <c r="F7" s="1"/>
      <c r="K7" s="1014"/>
    </row>
    <row r="8" spans="1:13" ht="26.25" customHeight="1" x14ac:dyDescent="0.25">
      <c r="B8" s="1015"/>
      <c r="C8" s="35" t="s">
        <v>980</v>
      </c>
      <c r="D8" s="35" t="s">
        <v>981</v>
      </c>
      <c r="F8" s="1"/>
      <c r="K8" s="1014"/>
    </row>
    <row r="9" spans="1:13" ht="14.25" customHeight="1" x14ac:dyDescent="0.25">
      <c r="B9" s="1015"/>
      <c r="C9" s="1078">
        <v>0.77569999999999995</v>
      </c>
      <c r="D9" s="1078">
        <v>0.79530000000000001</v>
      </c>
      <c r="F9" s="1"/>
      <c r="K9" s="1014"/>
    </row>
    <row r="10" spans="1:13" ht="14.25" customHeight="1" x14ac:dyDescent="0.25">
      <c r="B10" s="59"/>
      <c r="C10" s="1016"/>
      <c r="D10" s="1016"/>
      <c r="E10" s="1016"/>
      <c r="F10" s="1016"/>
      <c r="K10" s="1014"/>
    </row>
    <row r="11" spans="1:13" customFormat="1" ht="18.75" x14ac:dyDescent="0.25">
      <c r="A11" s="427"/>
      <c r="B11" s="1010" t="s">
        <v>982</v>
      </c>
      <c r="C11" s="1011"/>
      <c r="D11" s="1012"/>
      <c r="E11" s="1012"/>
      <c r="F11" s="1012"/>
      <c r="G11" s="1012"/>
      <c r="H11" s="1012"/>
      <c r="I11" s="1012"/>
      <c r="J11" s="1012"/>
      <c r="K11" s="1013"/>
    </row>
    <row r="12" spans="1:13" customFormat="1" ht="80.25" customHeight="1" x14ac:dyDescent="0.25">
      <c r="A12" s="427"/>
      <c r="B12" s="1304" t="s">
        <v>983</v>
      </c>
      <c r="C12" s="1305"/>
      <c r="D12" s="1305"/>
      <c r="E12" s="1305"/>
      <c r="F12" s="1305"/>
      <c r="G12" s="1305"/>
      <c r="H12" s="1305"/>
      <c r="I12" s="1305"/>
      <c r="J12" s="1305"/>
      <c r="K12" s="1306"/>
    </row>
    <row r="13" spans="1:13" customFormat="1" ht="15" x14ac:dyDescent="0.25">
      <c r="A13" s="427"/>
      <c r="B13" s="376" t="s">
        <v>984</v>
      </c>
      <c r="C13" s="923"/>
      <c r="D13" s="427"/>
      <c r="E13" s="427"/>
      <c r="F13" s="427"/>
      <c r="G13" s="427"/>
      <c r="H13" s="427"/>
      <c r="I13" s="427"/>
      <c r="J13" s="427"/>
      <c r="K13" s="1014"/>
    </row>
    <row r="14" spans="1:13" customFormat="1" ht="60" x14ac:dyDescent="0.25">
      <c r="B14" s="1015"/>
      <c r="C14" s="134" t="s">
        <v>985</v>
      </c>
      <c r="D14" s="134" t="s">
        <v>986</v>
      </c>
      <c r="E14" s="134" t="s">
        <v>987</v>
      </c>
      <c r="F14" s="134" t="s">
        <v>988</v>
      </c>
      <c r="G14" s="134" t="s">
        <v>989</v>
      </c>
      <c r="H14" s="134" t="s">
        <v>990</v>
      </c>
      <c r="I14" s="134" t="s">
        <v>991</v>
      </c>
      <c r="J14" s="442" t="s">
        <v>992</v>
      </c>
      <c r="K14" s="16"/>
    </row>
    <row r="15" spans="1:13" customFormat="1" ht="30" x14ac:dyDescent="0.25">
      <c r="B15" s="1015"/>
      <c r="C15" s="1017" t="s">
        <v>993</v>
      </c>
      <c r="D15" s="1017" t="s">
        <v>994</v>
      </c>
      <c r="E15" s="1017"/>
      <c r="F15" s="1018">
        <v>46169.648136574076</v>
      </c>
      <c r="G15" s="1018">
        <v>46169.88013888889</v>
      </c>
      <c r="H15" s="1018">
        <v>46169.770833333336</v>
      </c>
      <c r="I15" s="1019" t="s">
        <v>995</v>
      </c>
      <c r="J15" s="1020" t="s">
        <v>996</v>
      </c>
      <c r="K15" s="16"/>
    </row>
    <row r="16" spans="1:13" customFormat="1" ht="30" x14ac:dyDescent="0.25">
      <c r="B16" s="1015"/>
      <c r="C16" s="1021" t="s">
        <v>997</v>
      </c>
      <c r="D16" s="1021" t="s">
        <v>998</v>
      </c>
      <c r="E16" s="1021"/>
      <c r="F16" s="1022">
        <v>46090.314189814817</v>
      </c>
      <c r="G16" s="1022">
        <v>46169.531504629631</v>
      </c>
      <c r="H16" s="1022">
        <v>46160.770833333336</v>
      </c>
      <c r="I16" s="1023" t="s">
        <v>995</v>
      </c>
      <c r="J16" s="370" t="s">
        <v>996</v>
      </c>
      <c r="K16" s="16"/>
    </row>
    <row r="17" spans="1:11" customFormat="1" ht="30" x14ac:dyDescent="0.25">
      <c r="B17" s="1015"/>
      <c r="C17" s="1021" t="s">
        <v>993</v>
      </c>
      <c r="D17" s="1021" t="s">
        <v>994</v>
      </c>
      <c r="E17" s="1021"/>
      <c r="F17" s="1022">
        <v>46034.325277777774</v>
      </c>
      <c r="G17" s="1022">
        <v>46163.655844907407</v>
      </c>
      <c r="H17" s="1022">
        <v>46157.770833333336</v>
      </c>
      <c r="I17" s="1023" t="s">
        <v>995</v>
      </c>
      <c r="J17" s="370" t="s">
        <v>996</v>
      </c>
      <c r="K17" s="16"/>
    </row>
    <row r="18" spans="1:11" customFormat="1" ht="30" x14ac:dyDescent="0.25">
      <c r="B18" s="1015"/>
      <c r="C18" s="1021" t="s">
        <v>999</v>
      </c>
      <c r="D18" s="1021" t="s">
        <v>1000</v>
      </c>
      <c r="E18" s="1021"/>
      <c r="F18" s="1022">
        <v>46112.383368055554</v>
      </c>
      <c r="G18" s="1022">
        <v>46112.763391203705</v>
      </c>
      <c r="H18" s="1022">
        <v>46112.666666666664</v>
      </c>
      <c r="I18" s="1023" t="s">
        <v>995</v>
      </c>
      <c r="J18" s="370" t="s">
        <v>996</v>
      </c>
      <c r="K18" s="16"/>
    </row>
    <row r="19" spans="1:11" customFormat="1" ht="30" x14ac:dyDescent="0.25">
      <c r="B19" s="1015"/>
      <c r="C19" s="1021" t="s">
        <v>1001</v>
      </c>
      <c r="D19" s="1021" t="s">
        <v>1002</v>
      </c>
      <c r="E19" s="1021"/>
      <c r="F19" s="1022">
        <v>46069.382951388892</v>
      </c>
      <c r="G19" s="1022">
        <v>46075.56009259259</v>
      </c>
      <c r="H19" s="1022">
        <v>46074.770833333336</v>
      </c>
      <c r="I19" s="1023" t="s">
        <v>995</v>
      </c>
      <c r="J19" s="370" t="s">
        <v>996</v>
      </c>
      <c r="K19" s="16"/>
    </row>
    <row r="20" spans="1:11" customFormat="1" ht="30" x14ac:dyDescent="0.25">
      <c r="B20" s="1015"/>
      <c r="C20" s="1017" t="s">
        <v>1003</v>
      </c>
      <c r="D20" s="1017" t="s">
        <v>1004</v>
      </c>
      <c r="E20" s="1017"/>
      <c r="F20" s="1018">
        <v>46035.298067129632</v>
      </c>
      <c r="G20" s="1018">
        <v>46037.80128472222</v>
      </c>
      <c r="H20" s="1018">
        <v>46036.729166666664</v>
      </c>
      <c r="I20" s="1019" t="s">
        <v>995</v>
      </c>
      <c r="J20" s="1024" t="s">
        <v>996</v>
      </c>
      <c r="K20" s="16"/>
    </row>
    <row r="21" spans="1:11" customFormat="1" ht="30" x14ac:dyDescent="0.25">
      <c r="B21" s="1015"/>
      <c r="C21" s="1021" t="s">
        <v>1005</v>
      </c>
      <c r="D21" s="1021" t="s">
        <v>1006</v>
      </c>
      <c r="E21" s="1021"/>
      <c r="F21" s="1022">
        <v>45958.491678240738</v>
      </c>
      <c r="G21" s="1022">
        <v>45962.781550925924</v>
      </c>
      <c r="H21" s="1022">
        <v>45961.770833333336</v>
      </c>
      <c r="I21" s="1023" t="s">
        <v>995</v>
      </c>
      <c r="J21" s="370" t="s">
        <v>996</v>
      </c>
      <c r="K21" s="16"/>
    </row>
    <row r="22" spans="1:11" customFormat="1" ht="30" x14ac:dyDescent="0.25">
      <c r="B22" s="1015"/>
      <c r="C22" s="1017" t="s">
        <v>1007</v>
      </c>
      <c r="D22" s="1017" t="s">
        <v>1008</v>
      </c>
      <c r="E22" s="1017"/>
      <c r="F22" s="1018">
        <v>45946.324305555558</v>
      </c>
      <c r="G22" s="1018">
        <v>45946.867361111108</v>
      </c>
      <c r="H22" s="1018">
        <v>45947.770833333336</v>
      </c>
      <c r="I22" s="1019" t="s">
        <v>995</v>
      </c>
      <c r="J22" s="1024" t="s">
        <v>996</v>
      </c>
      <c r="K22" s="16"/>
    </row>
    <row r="23" spans="1:11" customFormat="1" ht="30" x14ac:dyDescent="0.25">
      <c r="B23" s="1015"/>
      <c r="C23" s="1025" t="s">
        <v>1009</v>
      </c>
      <c r="D23" s="1025" t="s">
        <v>1010</v>
      </c>
      <c r="E23" s="1025"/>
      <c r="F23" s="1026">
        <v>45887.304398148146</v>
      </c>
      <c r="G23" s="1026">
        <v>45892.677939814814</v>
      </c>
      <c r="H23" s="1026">
        <v>45891.770833333336</v>
      </c>
      <c r="I23" s="1027" t="s">
        <v>995</v>
      </c>
      <c r="J23" s="370" t="s">
        <v>1011</v>
      </c>
      <c r="K23" s="16"/>
    </row>
    <row r="24" spans="1:11" customFormat="1" ht="15" x14ac:dyDescent="0.25">
      <c r="B24" s="1015"/>
      <c r="F24" s="1028"/>
      <c r="G24" s="1028"/>
      <c r="H24" s="1028"/>
      <c r="I24" s="886"/>
      <c r="J24" s="886"/>
      <c r="K24" s="16"/>
    </row>
    <row r="25" spans="1:11" customFormat="1" ht="15" x14ac:dyDescent="0.25">
      <c r="B25" s="376" t="s">
        <v>1012</v>
      </c>
      <c r="C25" s="1"/>
      <c r="D25" s="1"/>
      <c r="E25" s="1"/>
      <c r="F25" s="1"/>
      <c r="G25" s="1"/>
      <c r="H25" s="34"/>
      <c r="I25" s="34"/>
      <c r="J25" s="34"/>
      <c r="K25" s="16"/>
    </row>
    <row r="26" spans="1:11" customFormat="1" ht="15" x14ac:dyDescent="0.25">
      <c r="B26" s="1015"/>
      <c r="C26" s="433" t="s">
        <v>1013</v>
      </c>
      <c r="D26" s="1029" t="s">
        <v>1014</v>
      </c>
      <c r="E26" s="1"/>
      <c r="F26" s="427"/>
      <c r="G26" s="427"/>
      <c r="H26" s="427"/>
      <c r="I26" s="427"/>
      <c r="J26" s="427"/>
      <c r="K26" s="16"/>
    </row>
    <row r="27" spans="1:11" customFormat="1" ht="15" x14ac:dyDescent="0.25">
      <c r="B27" s="1015"/>
      <c r="C27" s="433" t="s">
        <v>1015</v>
      </c>
      <c r="D27" s="1030">
        <v>6.1600000000000002E-2</v>
      </c>
      <c r="E27" s="1"/>
      <c r="F27" s="1"/>
      <c r="G27" s="427"/>
      <c r="H27" s="427"/>
      <c r="I27" s="427"/>
      <c r="J27" s="427"/>
      <c r="K27" s="16"/>
    </row>
    <row r="28" spans="1:11" customFormat="1" ht="15" x14ac:dyDescent="0.25">
      <c r="B28" s="1015"/>
      <c r="C28" s="1"/>
      <c r="D28" s="1"/>
      <c r="E28" s="1"/>
      <c r="F28" s="1"/>
      <c r="G28" s="1"/>
      <c r="H28" s="1"/>
      <c r="I28" s="1"/>
      <c r="J28" s="1"/>
      <c r="K28" s="16"/>
    </row>
    <row r="29" spans="1:11" customFormat="1" ht="18.75" x14ac:dyDescent="0.25">
      <c r="B29" s="1010" t="s">
        <v>1016</v>
      </c>
      <c r="C29" s="1011"/>
      <c r="D29" s="1012"/>
      <c r="E29" s="1012"/>
      <c r="F29" s="1012"/>
      <c r="G29" s="1012"/>
      <c r="H29" s="1012"/>
      <c r="I29" s="1012"/>
      <c r="J29" s="1012"/>
      <c r="K29" s="1013"/>
    </row>
    <row r="30" spans="1:11" customFormat="1" ht="54" customHeight="1" x14ac:dyDescent="0.25">
      <c r="B30" s="1313" t="s">
        <v>1017</v>
      </c>
      <c r="C30" s="1284"/>
      <c r="D30" s="1284"/>
      <c r="E30" s="1284"/>
      <c r="F30" s="1284"/>
      <c r="G30" s="1284"/>
      <c r="H30" s="1284"/>
      <c r="I30" s="1284"/>
      <c r="J30" s="1284"/>
      <c r="K30" s="1314"/>
    </row>
    <row r="31" spans="1:11" customFormat="1" ht="15" x14ac:dyDescent="0.25">
      <c r="B31" s="376" t="s">
        <v>1018</v>
      </c>
      <c r="C31" s="883"/>
      <c r="D31" s="883"/>
      <c r="E31" s="883"/>
      <c r="F31" s="883"/>
      <c r="G31" s="883"/>
      <c r="H31" s="883"/>
      <c r="I31" s="883"/>
      <c r="J31" s="883"/>
      <c r="K31" s="1031"/>
    </row>
    <row r="32" spans="1:11" customFormat="1" ht="15" x14ac:dyDescent="0.25">
      <c r="A32" s="427"/>
      <c r="B32" s="12"/>
      <c r="C32" s="433" t="s">
        <v>1013</v>
      </c>
      <c r="D32" s="1029" t="s">
        <v>1019</v>
      </c>
      <c r="E32" s="1"/>
      <c r="F32" s="1"/>
      <c r="G32" s="1"/>
      <c r="H32" s="1"/>
      <c r="I32" s="1"/>
      <c r="J32" s="1"/>
      <c r="K32" s="16"/>
    </row>
    <row r="33" spans="1:11" customFormat="1" ht="13.5" customHeight="1" x14ac:dyDescent="0.25">
      <c r="A33" s="427"/>
      <c r="B33" s="1015"/>
      <c r="C33" s="433" t="s">
        <v>1015</v>
      </c>
      <c r="D33" s="1030">
        <v>9.5899999999999999E-2</v>
      </c>
      <c r="E33" s="135"/>
      <c r="F33" s="135"/>
      <c r="G33" s="1"/>
      <c r="H33" s="1"/>
      <c r="I33" s="427"/>
      <c r="J33" s="427"/>
      <c r="K33" s="16"/>
    </row>
    <row r="34" spans="1:11" customFormat="1" ht="15" x14ac:dyDescent="0.25">
      <c r="A34" s="427"/>
      <c r="B34" s="12"/>
      <c r="C34" s="1"/>
      <c r="D34" s="1"/>
      <c r="E34" s="1"/>
      <c r="F34" s="1"/>
      <c r="G34" s="1"/>
      <c r="H34" s="1"/>
      <c r="I34" s="1"/>
      <c r="J34" s="1"/>
      <c r="K34" s="16"/>
    </row>
    <row r="35" spans="1:11" customFormat="1" ht="18.75" x14ac:dyDescent="0.25">
      <c r="A35" s="427"/>
      <c r="B35" s="1010" t="s">
        <v>1020</v>
      </c>
      <c r="C35" s="1011"/>
      <c r="D35" s="1012"/>
      <c r="E35" s="1012"/>
      <c r="F35" s="1012"/>
      <c r="G35" s="1012"/>
      <c r="H35" s="1012"/>
      <c r="I35" s="1012"/>
      <c r="J35" s="1012"/>
      <c r="K35" s="1013"/>
    </row>
    <row r="36" spans="1:11" customFormat="1" ht="99.75" customHeight="1" thickBot="1" x14ac:dyDescent="0.3">
      <c r="A36" s="427"/>
      <c r="B36" s="1304" t="s">
        <v>1021</v>
      </c>
      <c r="C36" s="1305"/>
      <c r="D36" s="1305"/>
      <c r="E36" s="1305"/>
      <c r="F36" s="1305"/>
      <c r="G36" s="1305"/>
      <c r="H36" s="1305"/>
      <c r="I36" s="1305"/>
      <c r="J36" s="1305"/>
      <c r="K36" s="1306"/>
    </row>
    <row r="37" spans="1:11" customFormat="1" ht="15.75" thickBot="1" x14ac:dyDescent="0.3">
      <c r="A37" s="427"/>
      <c r="B37" s="376" t="s">
        <v>1022</v>
      </c>
      <c r="C37" s="427"/>
      <c r="D37" s="427"/>
      <c r="E37" s="1032" t="s">
        <v>1023</v>
      </c>
      <c r="F37" s="427"/>
      <c r="G37" s="883"/>
      <c r="H37" s="883"/>
      <c r="I37" s="883"/>
      <c r="J37" s="883"/>
      <c r="K37" s="1014"/>
    </row>
    <row r="38" spans="1:11" customFormat="1" ht="15.75" thickBot="1" x14ac:dyDescent="0.3">
      <c r="A38" s="427"/>
      <c r="B38" s="1015"/>
      <c r="C38" s="1033" t="s">
        <v>819</v>
      </c>
      <c r="D38" s="1034"/>
      <c r="E38" s="1035" t="s">
        <v>824</v>
      </c>
      <c r="F38" s="427"/>
      <c r="G38" s="883"/>
      <c r="H38" s="1"/>
      <c r="I38" s="1"/>
      <c r="J38" s="427"/>
      <c r="K38" s="1014"/>
    </row>
    <row r="39" spans="1:11" customFormat="1" ht="15" x14ac:dyDescent="0.25">
      <c r="A39" s="427"/>
      <c r="B39" s="1015"/>
      <c r="C39" s="1036" t="s">
        <v>833</v>
      </c>
      <c r="D39" s="921"/>
      <c r="E39" s="1037">
        <v>7.4373168611345901E-6</v>
      </c>
      <c r="F39" s="427"/>
      <c r="G39" s="521"/>
      <c r="H39" s="1"/>
      <c r="I39" s="1"/>
      <c r="J39" s="427"/>
      <c r="K39" s="1014"/>
    </row>
    <row r="40" spans="1:11" customFormat="1" ht="15" x14ac:dyDescent="0.25">
      <c r="A40" s="427"/>
      <c r="B40" s="1015"/>
      <c r="C40" s="1038" t="s">
        <v>834</v>
      </c>
      <c r="D40" s="427"/>
      <c r="E40" s="1039">
        <v>9.6960556245597594E-6</v>
      </c>
      <c r="F40" s="427"/>
      <c r="G40" s="521"/>
      <c r="H40" s="1"/>
      <c r="I40" s="1"/>
      <c r="J40" s="521"/>
      <c r="K40" s="1014"/>
    </row>
    <row r="41" spans="1:11" customFormat="1" ht="15" x14ac:dyDescent="0.25">
      <c r="A41" s="427"/>
      <c r="B41" s="1015"/>
      <c r="C41" s="1038" t="s">
        <v>835</v>
      </c>
      <c r="D41" s="427"/>
      <c r="E41" s="1039">
        <v>3.3010164098331742E-7</v>
      </c>
      <c r="F41" s="427"/>
      <c r="G41" s="521"/>
      <c r="H41" s="521"/>
      <c r="I41" s="521"/>
      <c r="J41" s="521"/>
      <c r="K41" s="522"/>
    </row>
    <row r="42" spans="1:11" customFormat="1" ht="15.75" thickBot="1" x14ac:dyDescent="0.3">
      <c r="A42" s="427"/>
      <c r="B42" s="1015"/>
      <c r="C42" s="1040" t="s">
        <v>836</v>
      </c>
      <c r="D42" s="922"/>
      <c r="E42" s="1041">
        <v>5.2770172547391986E-6</v>
      </c>
      <c r="F42" s="427"/>
      <c r="G42" s="521"/>
      <c r="H42" s="521"/>
      <c r="I42" s="521"/>
      <c r="J42" s="521"/>
      <c r="K42" s="522"/>
    </row>
    <row r="43" spans="1:11" customFormat="1" ht="15" x14ac:dyDescent="0.25">
      <c r="A43" s="935"/>
      <c r="B43" s="523"/>
      <c r="C43" s="521"/>
      <c r="D43" s="521"/>
      <c r="E43" s="521"/>
      <c r="F43" s="521"/>
      <c r="G43" s="521"/>
      <c r="H43" s="521"/>
      <c r="I43" s="521"/>
      <c r="J43" s="521"/>
      <c r="K43" s="522"/>
    </row>
    <row r="44" spans="1:11" ht="18.75" customHeight="1" x14ac:dyDescent="0.25">
      <c r="B44" s="1010" t="s">
        <v>1024</v>
      </c>
      <c r="C44" s="1011"/>
      <c r="D44" s="1012"/>
      <c r="E44" s="1012"/>
      <c r="F44" s="1012"/>
      <c r="G44" s="1012"/>
      <c r="H44" s="1012"/>
      <c r="I44" s="1012"/>
      <c r="J44" s="1012"/>
      <c r="K44" s="1013"/>
    </row>
    <row r="45" spans="1:11" ht="70.5" customHeight="1" x14ac:dyDescent="0.25">
      <c r="B45" s="1304" t="s">
        <v>1025</v>
      </c>
      <c r="C45" s="1305"/>
      <c r="D45" s="1305"/>
      <c r="E45" s="1305"/>
      <c r="F45" s="1305"/>
      <c r="G45" s="1305"/>
      <c r="H45" s="1305"/>
      <c r="I45" s="1305"/>
      <c r="J45" s="1305"/>
      <c r="K45" s="1306"/>
    </row>
    <row r="46" spans="1:11" ht="14.25" customHeight="1" x14ac:dyDescent="0.25">
      <c r="B46" s="376" t="s">
        <v>1026</v>
      </c>
      <c r="C46" s="1"/>
      <c r="D46" s="1"/>
      <c r="E46" s="1"/>
      <c r="F46" s="1"/>
      <c r="K46" s="1014"/>
    </row>
    <row r="47" spans="1:11" s="935" customFormat="1" ht="15" x14ac:dyDescent="0.25">
      <c r="B47" s="1042"/>
      <c r="C47" s="109" t="s">
        <v>914</v>
      </c>
      <c r="D47" s="1316" t="s">
        <v>1027</v>
      </c>
      <c r="E47" s="1316"/>
      <c r="F47" s="1316"/>
      <c r="G47" s="1316"/>
      <c r="H47" s="1316" t="s">
        <v>1028</v>
      </c>
      <c r="I47" s="1316"/>
      <c r="J47" s="1316"/>
      <c r="K47" s="1043"/>
    </row>
    <row r="48" spans="1:11" ht="80.25" customHeight="1" x14ac:dyDescent="0.25">
      <c r="B48" s="1015"/>
      <c r="C48" s="1079" t="s">
        <v>1029</v>
      </c>
      <c r="D48" s="1315"/>
      <c r="E48" s="1315"/>
      <c r="F48" s="1315"/>
      <c r="G48" s="1315"/>
      <c r="H48" s="1315"/>
      <c r="I48" s="1315"/>
      <c r="J48" s="1315"/>
      <c r="K48" s="1014"/>
    </row>
    <row r="49" spans="2:15" ht="14.25" customHeight="1" x14ac:dyDescent="0.25">
      <c r="B49" s="12"/>
      <c r="C49" s="1"/>
      <c r="D49" s="1"/>
      <c r="E49" s="1"/>
      <c r="F49" s="1"/>
      <c r="K49" s="1014"/>
    </row>
    <row r="50" spans="2:15" x14ac:dyDescent="0.25">
      <c r="B50" s="1015"/>
      <c r="K50" s="1014"/>
    </row>
    <row r="51" spans="2:15" s="304" customFormat="1" ht="18.75" x14ac:dyDescent="0.25">
      <c r="B51" s="1010" t="s">
        <v>1030</v>
      </c>
      <c r="C51" s="1011"/>
      <c r="D51" s="1012"/>
      <c r="E51" s="1012"/>
      <c r="F51" s="1012"/>
      <c r="G51" s="1012"/>
      <c r="H51" s="1012"/>
      <c r="I51" s="1012"/>
      <c r="J51" s="1012"/>
      <c r="K51" s="1013"/>
    </row>
    <row r="52" spans="2:15" s="304" customFormat="1" ht="96" customHeight="1" x14ac:dyDescent="0.25">
      <c r="B52" s="1304" t="s">
        <v>1031</v>
      </c>
      <c r="C52" s="1305"/>
      <c r="D52" s="1305"/>
      <c r="E52" s="1305"/>
      <c r="F52" s="1305"/>
      <c r="G52" s="1305"/>
      <c r="H52" s="1305"/>
      <c r="I52" s="1305"/>
      <c r="J52" s="1305"/>
      <c r="K52" s="1306"/>
    </row>
    <row r="53" spans="2:15" ht="87.95" customHeight="1" x14ac:dyDescent="0.25">
      <c r="B53" s="1112" t="s">
        <v>1119</v>
      </c>
      <c r="C53" s="1113"/>
      <c r="D53" s="1113"/>
      <c r="E53" s="1113"/>
      <c r="F53" s="1113"/>
      <c r="G53" s="1113"/>
      <c r="H53" s="1113"/>
      <c r="I53" s="1113"/>
      <c r="J53" s="1113"/>
      <c r="K53" s="1216"/>
    </row>
    <row r="54" spans="2:15" ht="15" x14ac:dyDescent="0.25">
      <c r="B54" s="376" t="s">
        <v>1032</v>
      </c>
      <c r="C54" s="136"/>
      <c r="D54" s="136"/>
      <c r="E54" s="136"/>
      <c r="F54" s="136"/>
      <c r="K54" s="1014"/>
    </row>
    <row r="55" spans="2:15" s="304" customFormat="1" ht="25.5" customHeight="1" x14ac:dyDescent="0.25">
      <c r="B55" s="334"/>
      <c r="C55" s="1080" t="s">
        <v>914</v>
      </c>
      <c r="D55" s="1318" t="s">
        <v>1033</v>
      </c>
      <c r="E55" s="1318"/>
      <c r="F55" s="1318"/>
      <c r="G55" s="1318"/>
      <c r="H55" s="1318" t="s">
        <v>1028</v>
      </c>
      <c r="I55" s="1318"/>
      <c r="J55" s="1318"/>
      <c r="K55" s="335"/>
    </row>
    <row r="56" spans="2:15" s="304" customFormat="1" ht="50.25" customHeight="1" x14ac:dyDescent="0.25">
      <c r="B56" s="334"/>
      <c r="C56" s="1081" t="s">
        <v>1034</v>
      </c>
      <c r="D56" s="1317"/>
      <c r="E56" s="1317"/>
      <c r="F56" s="1317"/>
      <c r="G56" s="1317"/>
      <c r="H56" s="1319"/>
      <c r="I56" s="1319"/>
      <c r="J56" s="1319"/>
      <c r="K56" s="335"/>
    </row>
    <row r="57" spans="2:15" s="304" customFormat="1" ht="15" x14ac:dyDescent="0.25">
      <c r="B57" s="1044"/>
      <c r="C57" s="136"/>
      <c r="D57" s="136"/>
      <c r="E57" s="136"/>
      <c r="F57" s="136"/>
      <c r="G57" s="427"/>
      <c r="H57" s="427"/>
      <c r="I57" s="427"/>
      <c r="J57" s="427"/>
      <c r="K57" s="1014"/>
    </row>
    <row r="58" spans="2:15" s="304" customFormat="1" ht="30" customHeight="1" x14ac:dyDescent="0.25">
      <c r="B58" s="1110" t="s">
        <v>1035</v>
      </c>
      <c r="C58" s="1111"/>
      <c r="D58" s="1111"/>
      <c r="E58" s="1111"/>
      <c r="F58" s="1111"/>
      <c r="G58" s="1111"/>
      <c r="H58" s="427"/>
      <c r="I58" s="427"/>
      <c r="J58" s="427"/>
      <c r="K58" s="1014"/>
    </row>
    <row r="59" spans="2:15" s="304" customFormat="1" ht="5.25" customHeight="1" x14ac:dyDescent="0.25">
      <c r="B59" s="884"/>
      <c r="C59" s="885"/>
      <c r="D59" s="885"/>
      <c r="E59" s="885"/>
      <c r="F59" s="885"/>
      <c r="G59" s="885"/>
      <c r="H59" s="427"/>
      <c r="I59" s="427"/>
      <c r="J59" s="427"/>
      <c r="K59" s="1014"/>
    </row>
    <row r="60" spans="2:15" s="304" customFormat="1" ht="15.6" customHeight="1" x14ac:dyDescent="0.25">
      <c r="B60" s="1010" t="s">
        <v>1036</v>
      </c>
      <c r="C60" s="1011"/>
      <c r="D60" s="1012"/>
      <c r="E60" s="1012"/>
      <c r="F60" s="1012"/>
      <c r="G60" s="1012"/>
      <c r="H60" s="1012"/>
      <c r="I60" s="1012"/>
      <c r="J60" s="1012"/>
      <c r="K60" s="1013"/>
      <c r="L60"/>
      <c r="M60"/>
      <c r="N60"/>
      <c r="O60"/>
    </row>
    <row r="61" spans="2:15" s="304" customFormat="1" ht="77.25" customHeight="1" x14ac:dyDescent="0.25">
      <c r="B61" s="1310" t="s">
        <v>1037</v>
      </c>
      <c r="C61" s="1311"/>
      <c r="D61" s="1311"/>
      <c r="E61" s="1311"/>
      <c r="F61" s="1311"/>
      <c r="G61" s="1311"/>
      <c r="H61" s="1311"/>
      <c r="I61" s="1311"/>
      <c r="J61" s="1311"/>
      <c r="K61" s="1312"/>
      <c r="L61" s="1045"/>
      <c r="M61" s="1045"/>
      <c r="N61" s="1045"/>
      <c r="O61" s="1045"/>
    </row>
    <row r="62" spans="2:15" s="304" customFormat="1" ht="15" x14ac:dyDescent="0.25">
      <c r="B62" s="1046"/>
      <c r="C62" s="1"/>
      <c r="D62" s="1"/>
      <c r="E62" s="1"/>
      <c r="F62" s="1"/>
      <c r="G62" s="1"/>
      <c r="H62" s="1"/>
      <c r="I62" s="1"/>
      <c r="J62" s="1"/>
      <c r="K62" s="16"/>
      <c r="L62" s="1"/>
      <c r="M62" s="1"/>
      <c r="N62" s="1"/>
      <c r="O62" s="1"/>
    </row>
    <row r="63" spans="2:15" s="304" customFormat="1" ht="14.45" customHeight="1" x14ac:dyDescent="0.25">
      <c r="B63" s="334"/>
      <c r="C63" s="1320" t="s">
        <v>1038</v>
      </c>
      <c r="D63" s="1320"/>
      <c r="E63" s="1320"/>
      <c r="F63" s="1320"/>
      <c r="G63" s="1320"/>
      <c r="H63" s="1320"/>
      <c r="I63" s="1320"/>
      <c r="J63" s="1320"/>
      <c r="K63" s="16"/>
      <c r="L63" s="1"/>
      <c r="M63" s="1"/>
      <c r="N63" s="1"/>
      <c r="O63" s="1"/>
    </row>
    <row r="64" spans="2:15" s="304" customFormat="1" ht="15" x14ac:dyDescent="0.25">
      <c r="B64" s="376" t="s">
        <v>1039</v>
      </c>
      <c r="C64" s="1047"/>
      <c r="D64" s="1047"/>
      <c r="E64" s="1047"/>
      <c r="F64" s="1047"/>
      <c r="G64" s="1"/>
      <c r="H64" s="1"/>
      <c r="I64" s="1"/>
      <c r="J64" s="1"/>
      <c r="K64" s="16"/>
      <c r="L64" s="1"/>
      <c r="M64" s="1"/>
      <c r="N64" s="1"/>
      <c r="O64" s="1"/>
    </row>
    <row r="65" spans="2:20" s="304" customFormat="1" ht="15" customHeight="1" x14ac:dyDescent="0.25">
      <c r="B65" s="1015"/>
      <c r="C65" s="8" t="s">
        <v>1040</v>
      </c>
      <c r="D65" s="1293" t="s">
        <v>1041</v>
      </c>
      <c r="E65" s="1293"/>
      <c r="F65" s="1293"/>
      <c r="G65" s="1293"/>
      <c r="H65" s="1293" t="s">
        <v>1042</v>
      </c>
      <c r="I65" s="1293"/>
      <c r="J65" s="1293"/>
      <c r="K65" s="16"/>
      <c r="L65" s="1"/>
      <c r="M65" s="1"/>
      <c r="N65" s="1"/>
      <c r="O65" s="1"/>
    </row>
    <row r="66" spans="2:20" s="304" customFormat="1" ht="15" x14ac:dyDescent="0.25">
      <c r="B66" s="1015"/>
      <c r="C66" s="1082"/>
      <c r="D66" s="1321" t="s">
        <v>1043</v>
      </c>
      <c r="E66" s="1321"/>
      <c r="F66" s="1321"/>
      <c r="G66" s="1321"/>
      <c r="H66" s="1321"/>
      <c r="I66" s="1321"/>
      <c r="J66" s="1321"/>
      <c r="K66" s="16"/>
      <c r="L66" s="1"/>
      <c r="M66" s="1"/>
      <c r="N66" s="1"/>
      <c r="O66" s="1"/>
    </row>
    <row r="67" spans="2:20" ht="15" x14ac:dyDescent="0.25">
      <c r="B67" s="1048"/>
      <c r="C67" s="1049"/>
      <c r="D67" s="1049"/>
      <c r="E67" s="1049"/>
      <c r="F67" s="1049"/>
      <c r="G67" s="1049"/>
      <c r="H67" s="1049"/>
      <c r="I67" s="1049"/>
      <c r="J67" s="1049"/>
      <c r="K67" s="1050"/>
      <c r="L67"/>
      <c r="M67"/>
      <c r="N67"/>
      <c r="O67"/>
      <c r="P67"/>
      <c r="Q67"/>
      <c r="R67"/>
      <c r="S67"/>
      <c r="T67"/>
    </row>
    <row r="68" spans="2:20" customFormat="1" ht="15" x14ac:dyDescent="0.25">
      <c r="B68" s="153" t="str">
        <f>+'16_CustomerMeasures'!B56</f>
        <v>Transpower's information to accompany the Annual Compliance Statement for the year ending 30 June 2026</v>
      </c>
      <c r="C68" s="151"/>
      <c r="D68" s="151"/>
      <c r="E68" s="151"/>
      <c r="F68" s="151"/>
      <c r="G68" s="151"/>
      <c r="H68" s="151"/>
      <c r="I68" s="151"/>
      <c r="J68" s="151"/>
      <c r="K68" s="151"/>
    </row>
    <row r="69" spans="2:20" ht="15" x14ac:dyDescent="0.25">
      <c r="L69"/>
      <c r="M69"/>
      <c r="N69"/>
      <c r="O69"/>
      <c r="P69"/>
      <c r="Q69"/>
      <c r="R69"/>
      <c r="S69"/>
      <c r="T69"/>
    </row>
    <row r="70" spans="2:20" ht="15" x14ac:dyDescent="0.25">
      <c r="L70"/>
      <c r="M70"/>
      <c r="N70"/>
      <c r="O70"/>
      <c r="P70"/>
      <c r="Q70"/>
      <c r="R70"/>
      <c r="S70"/>
      <c r="T70"/>
    </row>
    <row r="71" spans="2:20" ht="15" x14ac:dyDescent="0.25">
      <c r="L71"/>
      <c r="M71"/>
      <c r="N71"/>
      <c r="O71"/>
      <c r="P71"/>
      <c r="Q71"/>
      <c r="R71"/>
      <c r="S71"/>
      <c r="T71"/>
    </row>
    <row r="72" spans="2:20" ht="15" x14ac:dyDescent="0.25">
      <c r="L72"/>
      <c r="M72"/>
      <c r="N72"/>
      <c r="O72"/>
      <c r="P72"/>
      <c r="Q72"/>
      <c r="R72"/>
      <c r="S72"/>
      <c r="T72"/>
    </row>
    <row r="73" spans="2:20" ht="15" x14ac:dyDescent="0.25">
      <c r="L73"/>
      <c r="M73"/>
      <c r="N73"/>
      <c r="O73"/>
      <c r="P73"/>
      <c r="Q73"/>
      <c r="R73"/>
      <c r="S73"/>
      <c r="T73"/>
    </row>
  </sheetData>
  <mergeCells count="23">
    <mergeCell ref="H55:J55"/>
    <mergeCell ref="H56:J56"/>
    <mergeCell ref="C63:J63"/>
    <mergeCell ref="D66:G66"/>
    <mergeCell ref="D65:G65"/>
    <mergeCell ref="H65:J65"/>
    <mergeCell ref="H66:J66"/>
    <mergeCell ref="B53:K53"/>
    <mergeCell ref="B61:K61"/>
    <mergeCell ref="B2:K2"/>
    <mergeCell ref="B12:K12"/>
    <mergeCell ref="B30:K30"/>
    <mergeCell ref="B36:K36"/>
    <mergeCell ref="B58:G58"/>
    <mergeCell ref="B6:K6"/>
    <mergeCell ref="B52:K52"/>
    <mergeCell ref="B45:K45"/>
    <mergeCell ref="D48:G48"/>
    <mergeCell ref="D47:G47"/>
    <mergeCell ref="H48:J48"/>
    <mergeCell ref="H47:J47"/>
    <mergeCell ref="D56:G56"/>
    <mergeCell ref="D55:G55"/>
  </mergeCells>
  <hyperlinks>
    <hyperlink ref="B2" location="Contents!A1" display="A summary of pass-through costs and recoverable costs for the disclosure year as set out in Schedule H" xr:uid="{39484A8C-F91B-42B0-9FDC-FFE329851E2A}"/>
    <hyperlink ref="B2:K2" location="'Table of Contents'!A1" display="'Table of Contents'!A1" xr:uid="{ABB5DB32-16ED-4284-8DC1-F6CA8E89F76B}"/>
  </hyperlinks>
  <pageMargins left="0.23622047244094491" right="0.23622047244094491" top="0.74803149606299213" bottom="0.74803149606299213" header="0.31496062992125984" footer="0.31496062992125984"/>
  <pageSetup paperSize="8" fitToHeight="0" orientation="landscape" r:id="rId1"/>
  <headerFooter>
    <oddHeader>&amp;F</oddHeader>
    <oddFooter>&amp;A&amp;RPage &amp;P</oddFooter>
  </headerFooter>
  <rowBreaks count="2" manualBreakCount="2">
    <brk id="28" min="1" max="10" man="1"/>
    <brk id="50" min="1" max="1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1A01D6B595C43419954B48A2D420C06" ma:contentTypeVersion="8" ma:contentTypeDescription="Create a new document." ma:contentTypeScope="" ma:versionID="2c917096225f1295e23bc59b3db0f1e5">
  <xsd:schema xmlns:xsd="http://www.w3.org/2001/XMLSchema" xmlns:xs="http://www.w3.org/2001/XMLSchema" xmlns:p="http://schemas.microsoft.com/office/2006/metadata/properties" xmlns:ns2="47c66c29-457d-49f5-8f3c-b908bdc37b90" xmlns:ns3="6af8a9ab-1045-4b46-9ae5-713dc4079e94" xmlns:ns4="fd09b04b-c448-408d-b1d4-c0058ac8627f" targetNamespace="http://schemas.microsoft.com/office/2006/metadata/properties" ma:root="true" ma:fieldsID="e5ee6fc8b42a07b2eb041dd3c779a6eb" ns2:_="" ns3:_="" ns4:_="">
    <xsd:import namespace="47c66c29-457d-49f5-8f3c-b908bdc37b90"/>
    <xsd:import namespace="6af8a9ab-1045-4b46-9ae5-713dc4079e94"/>
    <xsd:import namespace="fd09b04b-c448-408d-b1d4-c0058ac8627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Financial_x0020_Year"/>
                <xsd:element ref="ns3:Document_x0020_Purpose" minOccurs="0"/>
                <xsd:element ref="ns4:SharedWithUsers" minOccurs="0"/>
                <xsd:element ref="ns4: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66c29-457d-49f5-8f3c-b908bdc37b9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f8a9ab-1045-4b46-9ae5-713dc4079e9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Financial_x0020_Year" ma:index="13" ma:displayName="Financial Year" ma:description="Select the financial year" ma:format="Dropdown" ma:internalName="Financial_x0020_Year">
      <xsd:simpleType>
        <xsd:restriction base="dms:Choice">
          <xsd:enumeration value="2020/21"/>
          <xsd:enumeration value="2021/22"/>
          <xsd:enumeration value="2022/23"/>
          <xsd:enumeration value="2023/24"/>
          <xsd:enumeration value="2024/25"/>
          <xsd:enumeration value="Process documentation"/>
          <xsd:enumeration value="Exemptions"/>
          <xsd:enumeration value="2025/2026"/>
        </xsd:restriction>
      </xsd:simpleType>
    </xsd:element>
    <xsd:element name="Document_x0020_Purpose" ma:index="14" nillable="true" ma:displayName="Document Purpose" ma:default="Other support" ma:format="Dropdown" ma:internalName="Document_x0020_Purpose">
      <xsd:simpleType>
        <xsd:restriction base="dms:Choice">
          <xsd:enumeration value="Audit"/>
          <xsd:enumeration value="Board/GM docs"/>
          <xsd:enumeration value="Capex support"/>
          <xsd:enumeration value="Final output"/>
          <xsd:enumeration value="Opex support"/>
          <xsd:enumeration value="RAB support"/>
          <xsd:enumeration value="Other support"/>
          <xsd:enumeration value="Wash ups support"/>
          <xsd:enumeration value="Audit correspondence"/>
          <xsd:enumeration value="Internal correspondence"/>
          <xsd:enumeration value="Working files"/>
          <xsd:enumeration value="Insurance support"/>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Purpose xmlns="6af8a9ab-1045-4b46-9ae5-713dc4079e94">Working files</Document_x0020_Purpose>
    <Financial_x0020_Year xmlns="6af8a9ab-1045-4b46-9ae5-713dc4079e94">2025/2026</Financial_x0020_Year>
    <_dlc_DocId xmlns="47c66c29-457d-49f5-8f3c-b908bdc37b90">regulatory-316266469-292</_dlc_DocId>
    <_dlc_DocIdUrl xmlns="47c66c29-457d-49f5-8f3c-b908bdc37b90">
      <Url>https://transpowernz.sharepoint.com/sites/regulatory/_layouts/15/DocIdRedir.aspx?ID=regulatory-316266469-292</Url>
      <Description>regulatory-316266469-292</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202F21-5AA8-4DB5-B438-14C5792F79DE}">
  <ds:schemaRefs>
    <ds:schemaRef ds:uri="http://schemas.microsoft.com/sharepoint/events"/>
  </ds:schemaRefs>
</ds:datastoreItem>
</file>

<file path=customXml/itemProps2.xml><?xml version="1.0" encoding="utf-8"?>
<ds:datastoreItem xmlns:ds="http://schemas.openxmlformats.org/officeDocument/2006/customXml" ds:itemID="{A6040C2D-3FA9-48A2-942E-D454D5AB63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66c29-457d-49f5-8f3c-b908bdc37b90"/>
    <ds:schemaRef ds:uri="6af8a9ab-1045-4b46-9ae5-713dc4079e94"/>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112812-5EEF-4813-B4B6-676C20575FFF}">
  <ds:schemaRefs>
    <ds:schemaRef ds:uri="http://www.w3.org/XML/1998/namespace"/>
    <ds:schemaRef ds:uri="http://purl.org/dc/elements/1.1/"/>
    <ds:schemaRef ds:uri="47c66c29-457d-49f5-8f3c-b908bdc37b90"/>
    <ds:schemaRef ds:uri="http://purl.org/dc/dcmitype/"/>
    <ds:schemaRef ds:uri="6af8a9ab-1045-4b46-9ae5-713dc4079e94"/>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fd09b04b-c448-408d-b1d4-c0058ac8627f"/>
    <ds:schemaRef ds:uri="http://schemas.microsoft.com/office/2006/metadata/properties"/>
  </ds:schemaRefs>
</ds:datastoreItem>
</file>

<file path=customXml/itemProps4.xml><?xml version="1.0" encoding="utf-8"?>
<ds:datastoreItem xmlns:ds="http://schemas.openxmlformats.org/officeDocument/2006/customXml" ds:itemID="{CDBA8728-6051-4731-B2C3-C25A663208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35</vt:i4>
      </vt:variant>
    </vt:vector>
  </HeadingPairs>
  <TitlesOfParts>
    <vt:vector size="59" baseType="lpstr">
      <vt:lpstr>Cover</vt:lpstr>
      <vt:lpstr>Directors Certificate</vt:lpstr>
      <vt:lpstr>Assurance Report</vt:lpstr>
      <vt:lpstr>Table of Contents</vt:lpstr>
      <vt:lpstr>1_Inputs</vt:lpstr>
      <vt:lpstr>Revenue and expenditure</vt:lpstr>
      <vt:lpstr>2_Revenue</vt:lpstr>
      <vt:lpstr>3_RevenueBuildingBlocks</vt:lpstr>
      <vt:lpstr>4_RAB</vt:lpstr>
      <vt:lpstr>5_BaseCapexAllowance</vt:lpstr>
      <vt:lpstr>6_BaseCapexDisparitiesAdj</vt:lpstr>
      <vt:lpstr>7_Base&amp;MajorCapexAdj</vt:lpstr>
      <vt:lpstr>8_OpexAllowance</vt:lpstr>
      <vt:lpstr>9_Opex</vt:lpstr>
      <vt:lpstr>10_EVAccount</vt:lpstr>
      <vt:lpstr>11_Pass-Through&amp;Recoverables</vt:lpstr>
      <vt:lpstr>12_Tax</vt:lpstr>
      <vt:lpstr>Quality performance</vt:lpstr>
      <vt:lpstr>13_RevenueLinkedQualityMeasures</vt:lpstr>
      <vt:lpstr>14_QualityStandards</vt:lpstr>
      <vt:lpstr>Additional Info to the ACS</vt:lpstr>
      <vt:lpstr>15_Events-AP&amp;AH</vt:lpstr>
      <vt:lpstr>16_CustomerMeasures</vt:lpstr>
      <vt:lpstr>17_QualityStandards-AddInfo</vt:lpstr>
      <vt:lpstr>'1_Inputs'!Print_Area</vt:lpstr>
      <vt:lpstr>'10_EVAccount'!Print_Area</vt:lpstr>
      <vt:lpstr>'11_Pass-Through&amp;Recoverables'!Print_Area</vt:lpstr>
      <vt:lpstr>'12_Tax'!Print_Area</vt:lpstr>
      <vt:lpstr>'13_RevenueLinkedQualityMeasures'!Print_Area</vt:lpstr>
      <vt:lpstr>'14_QualityStandards'!Print_Area</vt:lpstr>
      <vt:lpstr>'15_Events-AP&amp;AH'!Print_Area</vt:lpstr>
      <vt:lpstr>'16_CustomerMeasures'!Print_Area</vt:lpstr>
      <vt:lpstr>'17_QualityStandards-AddInfo'!Print_Area</vt:lpstr>
      <vt:lpstr>'2_Revenue'!Print_Area</vt:lpstr>
      <vt:lpstr>'3_RevenueBuildingBlocks'!Print_Area</vt:lpstr>
      <vt:lpstr>'4_RAB'!Print_Area</vt:lpstr>
      <vt:lpstr>'5_BaseCapexAllowance'!Print_Area</vt:lpstr>
      <vt:lpstr>'6_BaseCapexDisparitiesAdj'!Print_Area</vt:lpstr>
      <vt:lpstr>'7_Base&amp;MajorCapexAdj'!Print_Area</vt:lpstr>
      <vt:lpstr>'8_OpexAllowance'!Print_Area</vt:lpstr>
      <vt:lpstr>'9_Opex'!Print_Area</vt:lpstr>
      <vt:lpstr>'Assurance Report'!Print_Area</vt:lpstr>
      <vt:lpstr>Cover!Print_Area</vt:lpstr>
      <vt:lpstr>'Directors Certificate'!Print_Area</vt:lpstr>
      <vt:lpstr>'Table of Contents'!Print_Area</vt:lpstr>
      <vt:lpstr>'1_Inputs'!Print_Titles</vt:lpstr>
      <vt:lpstr>'10_EVAccount'!Print_Titles</vt:lpstr>
      <vt:lpstr>'11_Pass-Through&amp;Recoverables'!Print_Titles</vt:lpstr>
      <vt:lpstr>'14_QualityStandards'!Print_Titles</vt:lpstr>
      <vt:lpstr>'15_Events-AP&amp;AH'!Print_Titles</vt:lpstr>
      <vt:lpstr>'16_CustomerMeasures'!Print_Titles</vt:lpstr>
      <vt:lpstr>'17_QualityStandards-AddInfo'!Print_Titles</vt:lpstr>
      <vt:lpstr>'3_RevenueBuildingBlocks'!Print_Titles</vt:lpstr>
      <vt:lpstr>'4_RAB'!Print_Titles</vt:lpstr>
      <vt:lpstr>'5_BaseCapexAllowance'!Print_Titles</vt:lpstr>
      <vt:lpstr>'6_BaseCapexDisparitiesAdj'!Print_Titles</vt:lpstr>
      <vt:lpstr>'7_Base&amp;MajorCapexAdj'!Print_Titles</vt:lpstr>
      <vt:lpstr>'8_OpexAllowance'!Print_Titles</vt:lpstr>
      <vt:lpstr>'9_Opex'!Print_Titles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Dobinson</dc:creator>
  <cp:keywords/>
  <dc:description/>
  <cp:lastModifiedBy>Liam Dempsey</cp:lastModifiedBy>
  <cp:revision/>
  <cp:lastPrinted>2026-10-18T21:14:18Z</cp:lastPrinted>
  <dcterms:created xsi:type="dcterms:W3CDTF">2025-09-26T00:18:24Z</dcterms:created>
  <dcterms:modified xsi:type="dcterms:W3CDTF">2026-10-19T22:44:55Z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2025-09-26T02:57:55Z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e6dbb960-5a52-4b86-9c74-1f30a992be87</vt:lpwstr>
  </property>
  <property fmtid="{D5CDD505-2E9C-101B-9397-08002B2CF9AE}" pid="8" name="MSIP_Label_ec504e64-2eb9-4143-98d1-ab3085e5d939_ContentBits">
    <vt:lpwstr>0</vt:lpwstr>
  </property>
  <property fmtid="{D5CDD505-2E9C-101B-9397-08002B2CF9AE}" pid="9" name="MSIP_Label_ec504e64-2eb9-4143-98d1-ab3085e5d939_Tag">
    <vt:lpwstr>10, 3, 0, 1</vt:lpwstr>
  </property>
  <property fmtid="{D5CDD505-2E9C-101B-9397-08002B2CF9AE}" pid="10" name="ContentTypeId">
    <vt:lpwstr>0x01010051A01D6B595C43419954B48A2D420C06</vt:lpwstr>
  </property>
  <property fmtid="{D5CDD505-2E9C-101B-9397-08002B2CF9AE}" pid="11" name="_dlc_DocIdItemGuid">
    <vt:lpwstr>542e381a-0b9c-47e1-8f53-5898afd9277e</vt:lpwstr>
  </property>
  <property fmtid="{D5CDD505-2E9C-101B-9397-08002B2CF9AE}" pid="12" name="SV_QUERY_LIST_4F35BF76-6C0D-4D9B-82B2-816C12CF3733">
    <vt:lpwstr>empty_477D106A-C0D6-4607-AEBD-E2C9D60EA279</vt:lpwstr>
  </property>
  <property fmtid="{D5CDD505-2E9C-101B-9397-08002B2CF9AE}" pid="13" name="SV_HIDDEN_GRID_QUERY_LIST_4F35BF76-6C0D-4D9B-82B2-816C12CF3733">
    <vt:lpwstr>empty_477D106A-C0D6-4607-AEBD-E2C9D60EA279</vt:lpwstr>
  </property>
</Properties>
</file>